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05" windowWidth="15360" windowHeight="8040"/>
  </bookViews>
  <sheets>
    <sheet name="DD1416_mcmilliannm_3B1A32E8-142" sheetId="2" r:id="rId1"/>
  </sheets>
  <definedNames>
    <definedName name="_xlnm.Print_Titles" localSheetId="0">'DD1416_mcmilliannm_3B1A32E8-142'!$1:$7</definedName>
  </definedNames>
  <calcPr calcId="125725" fullCalcOnLoad="1"/>
</workbook>
</file>

<file path=xl/calcChain.xml><?xml version="1.0" encoding="utf-8"?>
<calcChain xmlns="http://schemas.openxmlformats.org/spreadsheetml/2006/main">
  <c r="I177" i="2"/>
  <c r="I165"/>
  <c r="K182"/>
  <c r="K174"/>
  <c r="K173"/>
  <c r="K168"/>
  <c r="K158"/>
  <c r="K155"/>
  <c r="K153"/>
  <c r="K152"/>
  <c r="I140"/>
  <c r="K120"/>
  <c r="K118"/>
  <c r="K97"/>
  <c r="K84"/>
  <c r="K83"/>
  <c r="K79"/>
  <c r="K122"/>
  <c r="K176"/>
  <c r="K154"/>
  <c r="K151"/>
  <c r="K138"/>
  <c r="I135"/>
  <c r="K114"/>
  <c r="K113"/>
  <c r="K107"/>
  <c r="K80"/>
  <c r="K71"/>
  <c r="K178"/>
  <c r="K170"/>
  <c r="K108"/>
  <c r="K103"/>
  <c r="I34"/>
  <c r="K133"/>
  <c r="J99"/>
  <c r="K95"/>
  <c r="K68"/>
  <c r="K44"/>
  <c r="K25"/>
  <c r="I182"/>
  <c r="I180"/>
  <c r="I150"/>
  <c r="J145"/>
  <c r="K141"/>
  <c r="H129"/>
  <c r="L122"/>
  <c r="H112"/>
  <c r="H184"/>
  <c r="K99"/>
  <c r="I51"/>
  <c r="L51"/>
  <c r="I46"/>
  <c r="K102"/>
  <c r="K161"/>
  <c r="K69"/>
  <c r="I183"/>
  <c r="K129"/>
  <c r="J129"/>
  <c r="K22"/>
  <c r="K18"/>
  <c r="H181"/>
  <c r="H150"/>
  <c r="J111"/>
  <c r="J34"/>
  <c r="J155"/>
  <c r="J51"/>
  <c r="J176"/>
  <c r="J181"/>
  <c r="J150"/>
  <c r="J46"/>
  <c r="K183"/>
  <c r="L177"/>
  <c r="I166"/>
  <c r="J166"/>
  <c r="I129"/>
  <c r="L182"/>
  <c r="L180"/>
  <c r="L178"/>
  <c r="L176"/>
  <c r="L175"/>
  <c r="L174"/>
  <c r="L173"/>
  <c r="L172"/>
  <c r="L171"/>
  <c r="L170"/>
  <c r="L169"/>
  <c r="L168"/>
  <c r="L167"/>
  <c r="L165"/>
  <c r="L164"/>
  <c r="L162"/>
  <c r="L161"/>
  <c r="L159"/>
  <c r="L158"/>
  <c r="L157"/>
  <c r="L156"/>
  <c r="L155"/>
  <c r="L154"/>
  <c r="L153"/>
  <c r="L152"/>
  <c r="L151"/>
  <c r="L149"/>
  <c r="L148"/>
  <c r="L147"/>
  <c r="L146"/>
  <c r="L145"/>
  <c r="L144"/>
  <c r="L143"/>
  <c r="L142"/>
  <c r="L141"/>
  <c r="L140"/>
  <c r="L139"/>
  <c r="L138"/>
  <c r="L136"/>
  <c r="L135"/>
  <c r="L133"/>
  <c r="L132"/>
  <c r="L131"/>
  <c r="L130"/>
  <c r="L128"/>
  <c r="L127"/>
  <c r="L126"/>
  <c r="L125"/>
  <c r="L121"/>
  <c r="L120"/>
  <c r="L119"/>
  <c r="L118"/>
  <c r="L117"/>
  <c r="L114"/>
  <c r="L113"/>
  <c r="L111"/>
  <c r="L110"/>
  <c r="L109"/>
  <c r="L108"/>
  <c r="L107"/>
  <c r="L106"/>
  <c r="L105"/>
  <c r="L104"/>
  <c r="L103"/>
  <c r="L102"/>
  <c r="L101"/>
  <c r="L99"/>
  <c r="L98"/>
  <c r="L97"/>
  <c r="L95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1"/>
  <c r="L70"/>
  <c r="L69"/>
  <c r="L68"/>
  <c r="L67"/>
  <c r="L65"/>
  <c r="L63"/>
  <c r="L62"/>
  <c r="L61"/>
  <c r="L60"/>
  <c r="L59"/>
  <c r="L57"/>
  <c r="L55"/>
  <c r="L54"/>
  <c r="L53"/>
  <c r="L50"/>
  <c r="L48"/>
  <c r="L47"/>
  <c r="L44"/>
  <c r="L43"/>
  <c r="L42"/>
  <c r="L40"/>
  <c r="L39"/>
  <c r="L34"/>
  <c r="L33"/>
  <c r="L32"/>
  <c r="L31"/>
  <c r="L30"/>
  <c r="L25"/>
  <c r="L24"/>
  <c r="L23"/>
  <c r="L22"/>
  <c r="L21"/>
  <c r="L20"/>
  <c r="L19"/>
  <c r="L18"/>
  <c r="L17"/>
  <c r="L16"/>
  <c r="L15"/>
  <c r="L14"/>
  <c r="L12"/>
  <c r="L11"/>
  <c r="L10"/>
  <c r="L9"/>
  <c r="L8"/>
  <c r="L46"/>
  <c r="L160"/>
  <c r="L166"/>
  <c r="L181"/>
  <c r="L183"/>
  <c r="K112"/>
  <c r="K46"/>
  <c r="K150"/>
  <c r="K160"/>
  <c r="K166"/>
  <c r="K181"/>
  <c r="J112"/>
  <c r="J184"/>
  <c r="J160"/>
  <c r="I181"/>
  <c r="I112"/>
  <c r="E181"/>
  <c r="D46"/>
  <c r="D112"/>
  <c r="D184"/>
  <c r="D129"/>
  <c r="D150"/>
  <c r="D160"/>
  <c r="D166"/>
  <c r="D181"/>
  <c r="D183"/>
  <c r="E183"/>
  <c r="E166"/>
  <c r="E160"/>
  <c r="E150"/>
  <c r="E129"/>
  <c r="E112"/>
  <c r="E46"/>
  <c r="E184"/>
  <c r="I184"/>
  <c r="L150"/>
  <c r="L112"/>
  <c r="K184"/>
  <c r="L129"/>
  <c r="L184"/>
</calcChain>
</file>

<file path=xl/sharedStrings.xml><?xml version="1.0" encoding="utf-8"?>
<sst xmlns="http://schemas.openxmlformats.org/spreadsheetml/2006/main" count="452" uniqueCount="392">
  <si>
    <t>Report of Programs</t>
  </si>
  <si>
    <t>(Dollars in Thousands)</t>
  </si>
  <si>
    <t>Account:</t>
  </si>
  <si>
    <t>Other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</si>
  <si>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</si>
  <si>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</si>
  <si>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</si>
  <si>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</si>
  <si>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</si>
  <si>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</si>
  <si>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</si>
  <si>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</si>
  <si>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</si>
  <si>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</si>
  <si>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</si>
  <si>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</si>
  <si>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</si>
  <si>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</si>
  <si>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</si>
  <si>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</si>
  <si>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</si>
  <si>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</si>
  <si>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</si>
  <si>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</si>
  <si>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</si>
  <si>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</si>
  <si>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</si>
  <si>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</si>
  <si>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0110</t>
  </si>
  <si>
    <t>0120</t>
  </si>
  <si>
    <t>Allison 501K Gas Turbine  </t>
  </si>
  <si>
    <t>0670</t>
  </si>
  <si>
    <t>0831</t>
  </si>
  <si>
    <t>0900</t>
  </si>
  <si>
    <t>*</t>
  </si>
  <si>
    <t>(Smart Valve Automatic Fire Suppression System)</t>
  </si>
  <si>
    <t>( 2,472)</t>
  </si>
  <si>
    <t> </t>
  </si>
  <si>
    <t>(2,472)</t>
  </si>
  <si>
    <t>0910</t>
  </si>
  <si>
    <t>0925</t>
  </si>
  <si>
    <t>Command and Control Switchboard  </t>
  </si>
  <si>
    <t>0935</t>
  </si>
  <si>
    <t>Pollution Control Equipment  </t>
  </si>
  <si>
    <t>0941</t>
  </si>
  <si>
    <t>0942</t>
  </si>
  <si>
    <t>0945</t>
  </si>
  <si>
    <t>Submarine Batteries  </t>
  </si>
  <si>
    <t>0950</t>
  </si>
  <si>
    <t>Strategic Platform Support Equip  </t>
  </si>
  <si>
    <t>0955</t>
  </si>
  <si>
    <t>0960</t>
  </si>
  <si>
    <t>0970</t>
  </si>
  <si>
    <t>0977</t>
  </si>
  <si>
    <t>Underwater EOD Programs  </t>
  </si>
  <si>
    <t>0981</t>
  </si>
  <si>
    <t>(Secure Remote Monitoring Systems)</t>
  </si>
  <si>
    <t>( 1,595)</t>
  </si>
  <si>
    <t>(1,595)</t>
  </si>
  <si>
    <t>(Canned Lube Pumps LHD-1 Class)</t>
  </si>
  <si>
    <t>( 798)</t>
  </si>
  <si>
    <t>(798)</t>
  </si>
  <si>
    <t>(Remote Monitoring and Troubleshooting Project)</t>
  </si>
  <si>
    <t>( 2,313)</t>
  </si>
  <si>
    <t>(2,313)</t>
  </si>
  <si>
    <t>(LCS Waterjet Spares)</t>
  </si>
  <si>
    <t>( 3,190)</t>
  </si>
  <si>
    <t>(3,190)</t>
  </si>
  <si>
    <t>0989</t>
  </si>
  <si>
    <t>0990</t>
  </si>
  <si>
    <t>Submarine Life Support System  </t>
  </si>
  <si>
    <t>1020</t>
  </si>
  <si>
    <t>Reactor Components  </t>
  </si>
  <si>
    <t>1130</t>
  </si>
  <si>
    <t>1210</t>
  </si>
  <si>
    <t>Standard Boats  S1.</t>
  </si>
  <si>
    <t>(Force Protection Boats (Small))</t>
  </si>
  <si>
    <t>( 1,994)</t>
  </si>
  <si>
    <t>(Range Support Craft Recapitalization)</t>
  </si>
  <si>
    <t>( 8,474)</t>
  </si>
  <si>
    <t>(Dive Boats)</t>
  </si>
  <si>
    <t>(Fuel Oil Barge (YON))</t>
  </si>
  <si>
    <t>( 4,187)</t>
  </si>
  <si>
    <t>1320</t>
  </si>
  <si>
    <t>Other Ships Training Equipment  </t>
  </si>
  <si>
    <t>1445</t>
  </si>
  <si>
    <t>Operating Forces IPE  </t>
  </si>
  <si>
    <t>(Pearl Harbor Naval Shipyard Equipment Mod)</t>
  </si>
  <si>
    <t>(4,187)</t>
  </si>
  <si>
    <t>1480</t>
  </si>
  <si>
    <t>Nuclear Alterations  </t>
  </si>
  <si>
    <t>1600</t>
  </si>
  <si>
    <t>1610</t>
  </si>
  <si>
    <t>(LSD-41/49 Diesel Engine Low Load Upgrade Kit)</t>
  </si>
  <si>
    <t>BA 01: Ships Support Equipment</t>
  </si>
  <si>
    <t>2026</t>
  </si>
  <si>
    <t>SPQ-9B Radar  </t>
  </si>
  <si>
    <t>2040</t>
  </si>
  <si>
    <t>Radar Support  </t>
  </si>
  <si>
    <t>(Enhanced Detection Adjunct Processor)</t>
  </si>
  <si>
    <t>2136</t>
  </si>
  <si>
    <t>2147</t>
  </si>
  <si>
    <t>SSN Acoustics  S1.</t>
  </si>
  <si>
    <t>(TB-33 Thinline Towed Array)</t>
  </si>
  <si>
    <t>( 3,988)</t>
  </si>
  <si>
    <t>2176</t>
  </si>
  <si>
    <t>Undersea Warfare Support Equipment  </t>
  </si>
  <si>
    <t>2181</t>
  </si>
  <si>
    <t>Sonar Switches and Transducers  </t>
  </si>
  <si>
    <t>2210</t>
  </si>
  <si>
    <t>(Hydroacoustic Low Frequency Source Generation Systems)</t>
  </si>
  <si>
    <t>2213</t>
  </si>
  <si>
    <t>Surface Ship Torpedo Def (SSTD)  </t>
  </si>
  <si>
    <t>(Program Increase)</t>
  </si>
  <si>
    <t>( 7,976)</t>
  </si>
  <si>
    <t>(7,976)</t>
  </si>
  <si>
    <t>2225</t>
  </si>
  <si>
    <t>Fixed Surveillance System  </t>
  </si>
  <si>
    <t>2237</t>
  </si>
  <si>
    <t>SURTASS  </t>
  </si>
  <si>
    <t>2246</t>
  </si>
  <si>
    <t>2312</t>
  </si>
  <si>
    <t>AN/SLQ-32  </t>
  </si>
  <si>
    <t>2360</t>
  </si>
  <si>
    <t>Shipboard IW Exploit  </t>
  </si>
  <si>
    <t>(AN/USQ-167 COMSEC Upgrade)</t>
  </si>
  <si>
    <t>2560</t>
  </si>
  <si>
    <t>Submarine Supt Equip Prog  S1.</t>
  </si>
  <si>
    <t>(AN/BLQ-10A(V) Wideband Signal Processor)</t>
  </si>
  <si>
    <t>( 2,991)</t>
  </si>
  <si>
    <t>2606</t>
  </si>
  <si>
    <t>Cooperative Engagement Capability  </t>
  </si>
  <si>
    <t>2608</t>
  </si>
  <si>
    <t>2611</t>
  </si>
  <si>
    <t>2614</t>
  </si>
  <si>
    <t>2622</t>
  </si>
  <si>
    <t>2624</t>
  </si>
  <si>
    <t>Shallow Water Mine CM Ship  </t>
  </si>
  <si>
    <t>2657</t>
  </si>
  <si>
    <t>2666</t>
  </si>
  <si>
    <t>American Forces Radio and TV Service (AFRTS)  </t>
  </si>
  <si>
    <t>2676</t>
  </si>
  <si>
    <t>2762</t>
  </si>
  <si>
    <t>Other Training Equipment  </t>
  </si>
  <si>
    <t>2804</t>
  </si>
  <si>
    <t>(Deployable Joint Command and Control Shelter Upgrade Program)</t>
  </si>
  <si>
    <t>( 2,393)</t>
  </si>
  <si>
    <t>(2,393)</t>
  </si>
  <si>
    <t>2815</t>
  </si>
  <si>
    <t>2831</t>
  </si>
  <si>
    <t>2832</t>
  </si>
  <si>
    <t>2840</t>
  </si>
  <si>
    <t>National Air Space System  </t>
  </si>
  <si>
    <t>2845</t>
  </si>
  <si>
    <t>2846</t>
  </si>
  <si>
    <t>2851</t>
  </si>
  <si>
    <t>2876</t>
  </si>
  <si>
    <t>2900</t>
  </si>
  <si>
    <t>TADIX-B  </t>
  </si>
  <si>
    <t>2906</t>
  </si>
  <si>
    <t>2914</t>
  </si>
  <si>
    <t>Distributed Common Ground System-Navy (DCGS-N)  </t>
  </si>
  <si>
    <t>2915</t>
  </si>
  <si>
    <t>2920</t>
  </si>
  <si>
    <t>2940</t>
  </si>
  <si>
    <t>Gen Purp Elec Test Equip (GPETE)  </t>
  </si>
  <si>
    <t>2960</t>
  </si>
  <si>
    <t>Integ Combat System Test Facility  </t>
  </si>
  <si>
    <t>2970</t>
  </si>
  <si>
    <t>EMI Control Instrumentation  </t>
  </si>
  <si>
    <t>2980</t>
  </si>
  <si>
    <t>(Radar Product Support System)</t>
  </si>
  <si>
    <t>3050</t>
  </si>
  <si>
    <t>3051</t>
  </si>
  <si>
    <t>3057</t>
  </si>
  <si>
    <t>(Intelligraf Training and Maintenance Aid for Above Water Sensors)</t>
  </si>
  <si>
    <t>3107</t>
  </si>
  <si>
    <t>Submarine Broadcast Support  </t>
  </si>
  <si>
    <t>3130</t>
  </si>
  <si>
    <t>3215</t>
  </si>
  <si>
    <t>3216</t>
  </si>
  <si>
    <t>3302</t>
  </si>
  <si>
    <t>3303</t>
  </si>
  <si>
    <t>Electrical Power Systems  </t>
  </si>
  <si>
    <t>3368</t>
  </si>
  <si>
    <t>3415</t>
  </si>
  <si>
    <t>3501</t>
  </si>
  <si>
    <t>3620</t>
  </si>
  <si>
    <t>3820</t>
  </si>
  <si>
    <t>Other Drug Interdiction Support  </t>
  </si>
  <si>
    <t>BA 02: Communications and Electronics Equipment</t>
  </si>
  <si>
    <t>4048</t>
  </si>
  <si>
    <t>4204</t>
  </si>
  <si>
    <t>(Range Support Enhancements)</t>
  </si>
  <si>
    <t>( 12,960)</t>
  </si>
  <si>
    <t>(Hawaiian Range Complex)</t>
  </si>
  <si>
    <t>4208</t>
  </si>
  <si>
    <t>4214</t>
  </si>
  <si>
    <t>4216</t>
  </si>
  <si>
    <t>4226</t>
  </si>
  <si>
    <t>4242</t>
  </si>
  <si>
    <t>DCRS/DPL  </t>
  </si>
  <si>
    <t>4244</t>
  </si>
  <si>
    <t>(Multi-Climate Protection System)</t>
  </si>
  <si>
    <t>( 6,380)</t>
  </si>
  <si>
    <t>(6,380)</t>
  </si>
  <si>
    <t>(Advanced Mission Extender Device Kits)</t>
  </si>
  <si>
    <t>4248</t>
  </si>
  <si>
    <t>Airborne Mine Countermeasures  </t>
  </si>
  <si>
    <t>4255</t>
  </si>
  <si>
    <t>LAMPS MK III Shipboard Equipment  </t>
  </si>
  <si>
    <t>4264</t>
  </si>
  <si>
    <t>4265</t>
  </si>
  <si>
    <t>BA 03: Aviation Support Equipment</t>
  </si>
  <si>
    <t>5112</t>
  </si>
  <si>
    <t>Naval Fires Control Sys   </t>
  </si>
  <si>
    <t>5209</t>
  </si>
  <si>
    <t>Gun Fire Control Equipment  </t>
  </si>
  <si>
    <t>5237</t>
  </si>
  <si>
    <t>NATO Seasparrow  </t>
  </si>
  <si>
    <t>5238</t>
  </si>
  <si>
    <t>(RAM Mark 49 Mod 3 Launcher Oblescence/Affordability)</t>
  </si>
  <si>
    <t>( 997)</t>
  </si>
  <si>
    <t>(997)</t>
  </si>
  <si>
    <t>5239</t>
  </si>
  <si>
    <t>Ship Self Defense System  </t>
  </si>
  <si>
    <t>5246</t>
  </si>
  <si>
    <t>(Adaptive Diagnostic Electronic Portable Testset)</t>
  </si>
  <si>
    <t>5253</t>
  </si>
  <si>
    <t>Tomahawk Support Equipment  S1.</t>
  </si>
  <si>
    <t>5260</t>
  </si>
  <si>
    <t>Vertical Launch Systems  </t>
  </si>
  <si>
    <t>5358</t>
  </si>
  <si>
    <t>5420</t>
  </si>
  <si>
    <t>5431</t>
  </si>
  <si>
    <t>Submarine ASW Support Equipment  </t>
  </si>
  <si>
    <t>5449</t>
  </si>
  <si>
    <t>Surface ASW Support Equipment  </t>
  </si>
  <si>
    <t>5455</t>
  </si>
  <si>
    <t>5509</t>
  </si>
  <si>
    <t>Explosive Ordnance Disposal Equip  R1.</t>
  </si>
  <si>
    <t>5530</t>
  </si>
  <si>
    <t>Anti-ship Missile Decoy System  </t>
  </si>
  <si>
    <t>5543</t>
  </si>
  <si>
    <t>Items Less Than $5 Million  </t>
  </si>
  <si>
    <t>5660</t>
  </si>
  <si>
    <t>Surface Training Device Mods  </t>
  </si>
  <si>
    <t>5661</t>
  </si>
  <si>
    <t>Submarine Training Device Mods  </t>
  </si>
  <si>
    <t>BA 04: Ordnance Support Equipment</t>
  </si>
  <si>
    <t>6003</t>
  </si>
  <si>
    <t>6007</t>
  </si>
  <si>
    <t>6024</t>
  </si>
  <si>
    <t>Construction &amp; Maint Equip  R1.</t>
  </si>
  <si>
    <t>6027</t>
  </si>
  <si>
    <t>6028</t>
  </si>
  <si>
    <t>Tactical Vehicles  S1.</t>
  </si>
  <si>
    <t>6033</t>
  </si>
  <si>
    <t>Amphibious Equipment  </t>
  </si>
  <si>
    <t>6058</t>
  </si>
  <si>
    <t>6060</t>
  </si>
  <si>
    <t>6075</t>
  </si>
  <si>
    <t>Physical Security Vehicles  </t>
  </si>
  <si>
    <t>BA 05: Civil Engineering Support Equipment</t>
  </si>
  <si>
    <t>7015</t>
  </si>
  <si>
    <t>7050</t>
  </si>
  <si>
    <t>(Navy AIT Logistics Modernization)</t>
  </si>
  <si>
    <t>7066</t>
  </si>
  <si>
    <t>First Destination Transportation  </t>
  </si>
  <si>
    <t>7069</t>
  </si>
  <si>
    <t>Special Purpose Supply Systems  R1.</t>
  </si>
  <si>
    <t>BA 06: Supply Support Equipment</t>
  </si>
  <si>
    <t>8081</t>
  </si>
  <si>
    <t>Training Support Equipment  </t>
  </si>
  <si>
    <t>8106</t>
  </si>
  <si>
    <t>8108</t>
  </si>
  <si>
    <t>Education Support Equipment  </t>
  </si>
  <si>
    <t>8109</t>
  </si>
  <si>
    <t>8114</t>
  </si>
  <si>
    <t>8115</t>
  </si>
  <si>
    <t>Intelligence Support Equipment  </t>
  </si>
  <si>
    <t>8118</t>
  </si>
  <si>
    <t>8120</t>
  </si>
  <si>
    <t>8126</t>
  </si>
  <si>
    <t>8128</t>
  </si>
  <si>
    <t>Physical Security Equipment  R1.</t>
  </si>
  <si>
    <t>8161</t>
  </si>
  <si>
    <t>(SPAWAR Systems Center (SSC/ITC) New Orleans)</t>
  </si>
  <si>
    <t>( 5,982)</t>
  </si>
  <si>
    <t>(5,982)</t>
  </si>
  <si>
    <t>8380</t>
  </si>
  <si>
    <t>Judgment Fund Reimbursement  </t>
  </si>
  <si>
    <t>BA 07: Personnel and Command Support Equipment</t>
  </si>
  <si>
    <t>9020</t>
  </si>
  <si>
    <t>BA 08: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</si>
  <si>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</si>
  <si>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</si>
  <si>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</si>
  <si>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</si>
  <si>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</si>
  <si>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</si>
  <si>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</si>
  <si>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</si>
  <si>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</si>
  <si>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</si>
  <si>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</si>
  <si>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</si>
  <si>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Other Navigation Equipment   R1.</t>
  </si>
  <si>
    <t>Sub Periscopes &amp; Imaging Equip   R1.</t>
  </si>
  <si>
    <t>DDG Mod   R1.</t>
  </si>
  <si>
    <t>Pollution Control Equipment   R1.</t>
  </si>
  <si>
    <t>Virginia Class Support Equipment   R1.</t>
  </si>
  <si>
    <t>CG Modernization   R1.</t>
  </si>
  <si>
    <t>LCAC   S1.</t>
  </si>
  <si>
    <t>Items less than $5 Million   R1.</t>
  </si>
  <si>
    <t>LCS Modules   S1.</t>
  </si>
  <si>
    <t>LSD Midlife   S1.</t>
  </si>
  <si>
    <t>AN/SQQ-89 Surf ASW Cmbt Sys   S1.</t>
  </si>
  <si>
    <t>Minesweeping System Replacement   S1.</t>
  </si>
  <si>
    <t>RADIAC   S1.</t>
  </si>
  <si>
    <t>Coast Guard Equipment   S1.</t>
  </si>
  <si>
    <t>RAM GMLS   S1.</t>
  </si>
  <si>
    <t>SSN Combat Control Systems   R1.</t>
  </si>
  <si>
    <t>Passenger Carrying Vehicles   R1.</t>
  </si>
  <si>
    <t>Spares and Repair Parts   S1.</t>
  </si>
  <si>
    <t>Cancelled Account Adjustments</t>
  </si>
  <si>
    <t>( -4,187)</t>
  </si>
  <si>
    <t>( -)</t>
  </si>
  <si>
    <t>( -2,991)</t>
  </si>
  <si>
    <t>(-)</t>
  </si>
  <si>
    <t>( -1,994)</t>
  </si>
  <si>
    <t>( -3,988)</t>
  </si>
  <si>
    <t>Deep Subm Sys Proj (DSSP) Equip   S1.</t>
  </si>
  <si>
    <t>Diving and Salvage Equipment   S1.</t>
  </si>
  <si>
    <t>Submarine Acoustic Warfare System   R4.</t>
  </si>
  <si>
    <t>Depl JT Cmd &amp; Control (DJC2)   R4.</t>
  </si>
  <si>
    <t>Communications Items under $5M  S1.</t>
  </si>
  <si>
    <t>Satellite Communications Systems   S1.</t>
  </si>
  <si>
    <t>Navy Multiband Terminal (NMT)   S1.</t>
  </si>
  <si>
    <t>Cryptologic Communications Equip   S1.</t>
  </si>
  <si>
    <t>AEGIS Support Equipment   S3.</t>
  </si>
  <si>
    <t>Command Support Equipment   R1.</t>
  </si>
  <si>
    <t>Medical Support Equipment   R1.</t>
  </si>
  <si>
    <t>Naval MIP Support Equipment   R1.</t>
  </si>
  <si>
    <t>Enterprise Information Technology   R1.</t>
  </si>
  <si>
    <t>( -11,500)</t>
  </si>
  <si>
    <t>(1,460)</t>
  </si>
  <si>
    <t>Materials Handling Equipment  R1.</t>
  </si>
  <si>
    <t>Strategic Missile Systems Equip   S1. S3.</t>
  </si>
  <si>
    <t>Other Supply Support Equipment   R1.</t>
  </si>
  <si>
    <t>Tactical Support Center   S1.</t>
  </si>
  <si>
    <t>Naval Tact Cmd Supt Sys (NTCSS)   S1. S3.</t>
  </si>
  <si>
    <t>Adv Tact Data Link Sys (ATDLS)   S1.</t>
  </si>
  <si>
    <t>NAVSTAR GPS Receivers (Space)   S1.</t>
  </si>
  <si>
    <t>GCCS-M Equipment Tactical/Mobile   S1.</t>
  </si>
  <si>
    <t>CANES   S1.</t>
  </si>
  <si>
    <t>Ship Communications Automation   S1. S3.</t>
  </si>
  <si>
    <t>MDA   S1.</t>
  </si>
  <si>
    <t>Submarine Communication Equipment   R2.</t>
  </si>
  <si>
    <t>JCS Communications Equipment   S1.</t>
  </si>
  <si>
    <t>Items under $5 million  R1.</t>
  </si>
  <si>
    <t>Firefighting Equipment   S1.</t>
  </si>
  <si>
    <t>Submarine Support Equipment   R1.</t>
  </si>
  <si>
    <t>Strategic Platform Support Equip   S1.</t>
  </si>
  <si>
    <t>Chemical Warfare Detectors   S1.</t>
  </si>
  <si>
    <t>Sonobuoys - All Types   S1.</t>
  </si>
  <si>
    <t>Weapons Range Support Equipment   S1.</t>
  </si>
  <si>
    <t>Acft Launch &amp; Recovery Equip   S1.</t>
  </si>
  <si>
    <t>Fire Fighting Equipment   R1.</t>
  </si>
  <si>
    <t>Aviation Life Support   R1.</t>
  </si>
  <si>
    <t>LM-2500 Gas Turbine   S4.</t>
  </si>
  <si>
    <t>Trusted Information System (TIS)   S1. S3.</t>
  </si>
  <si>
    <t>Automatic Carrier Landing System   R4.</t>
  </si>
  <si>
    <t>C4ISR Equipment   S1.</t>
  </si>
  <si>
    <t>Info Systems Security Program (ISSP)   S1. S3.</t>
  </si>
  <si>
    <t>Naval Mission Planning Systems   S1.</t>
  </si>
  <si>
    <t>Naval Shore Communications   R4.</t>
  </si>
  <si>
    <t>Expeditionary Airfields   S1.</t>
  </si>
  <si>
    <t>Portable Electronic Maintenance Aids   R4.</t>
  </si>
  <si>
    <t>Other Aviation Support Equipment   S1.</t>
  </si>
  <si>
    <t>ASW Range Support Equipment   R1.</t>
  </si>
  <si>
    <t>General Purpose Trucks   S1.</t>
  </si>
  <si>
    <t>Data as of: 30 June 2012</t>
  </si>
  <si>
    <t>MATCALS   S1. S3.</t>
  </si>
  <si>
    <t>Shipboard Air Traffic Control   S1. S3.</t>
  </si>
  <si>
    <t>Fleet Air Traffic Control Systems  S1. S3.</t>
  </si>
  <si>
    <t>Landing Systems   S1. S3.</t>
  </si>
  <si>
    <t>ID Systems   S3.</t>
  </si>
  <si>
    <t>Acft Rearming Equip   R2. R4.</t>
  </si>
  <si>
    <t>Meteorological Equipment   R1.</t>
  </si>
  <si>
    <t>Operating Forces Supt Equip   R1.</t>
  </si>
  <si>
    <t>Environmental Support Equipment   S1.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</si>
</sst>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3" fillId="0" borderId="1" xfId="0" applyFont="1" applyBorder="1" applyAlignment="1"/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/>
    <xf numFmtId="3" fontId="0" fillId="0" borderId="1" xfId="0" applyNumberFormat="1" applyBorder="1" applyAlignment="1">
      <alignment horizontal="right" wrapText="1"/>
    </xf>
    <xf numFmtId="3" fontId="2" fillId="0" borderId="1" xfId="0" quotePrefix="1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Normal="100" workbookViewId="0">
      <selection sqref="A1:L1"/>
    </sheetView>
  </sheetViews>
  <sheetFormatPr defaultRowHeight="12.75"/>
  <cols>
    <col min="1" max="2" width="6.85546875" customWidth="1"/>
    <col min="3" max="3" width="39.140625" customWidth="1"/>
    <col min="4" max="4" width="8.42578125" customWidth="1"/>
    <col min="5" max="5" width="9.7109375" customWidth="1"/>
    <col min="6" max="6" width="10.42578125" customWidth="1"/>
    <col min="8" max="8" width="9" style="19" customWidth="1"/>
    <col min="10" max="11" width="7.42578125" style="19" customWidth="1"/>
    <col min="12" max="12" width="9.42578125" customWidth="1"/>
  </cols>
  <sheetData>
    <row r="1" spans="1:12" ht="12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>
      <c r="A3" s="26" t="s">
        <v>382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>
      <c r="A4" s="1" t="s">
        <v>2</v>
      </c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>
      <c r="A5" s="4" t="s">
        <v>4</v>
      </c>
      <c r="B5" s="4" t="s">
        <v>7</v>
      </c>
      <c r="C5" s="32" t="s">
        <v>10</v>
      </c>
      <c r="D5" s="4" t="s">
        <v>11</v>
      </c>
      <c r="E5" s="32" t="s">
        <v>13</v>
      </c>
      <c r="F5" s="4" t="s">
        <v>14</v>
      </c>
      <c r="G5" s="4" t="s">
        <v>16</v>
      </c>
      <c r="H5" s="15" t="s">
        <v>18</v>
      </c>
      <c r="I5" s="4" t="s">
        <v>20</v>
      </c>
      <c r="J5" s="15" t="s">
        <v>22</v>
      </c>
      <c r="K5" s="15" t="s">
        <v>25</v>
      </c>
      <c r="L5" s="4" t="s">
        <v>26</v>
      </c>
    </row>
    <row r="6" spans="1:12">
      <c r="A6" s="5" t="s">
        <v>5</v>
      </c>
      <c r="B6" s="5" t="s">
        <v>8</v>
      </c>
      <c r="C6" s="33"/>
      <c r="D6" s="5" t="s">
        <v>7</v>
      </c>
      <c r="E6" s="33"/>
      <c r="F6" s="5" t="s">
        <v>15</v>
      </c>
      <c r="G6" s="5" t="s">
        <v>17</v>
      </c>
      <c r="H6" s="16" t="s">
        <v>19</v>
      </c>
      <c r="I6" s="5" t="s">
        <v>21</v>
      </c>
      <c r="J6" s="16" t="s">
        <v>23</v>
      </c>
      <c r="K6" s="16" t="s">
        <v>23</v>
      </c>
      <c r="L6" s="5" t="s">
        <v>27</v>
      </c>
    </row>
    <row r="7" spans="1:12">
      <c r="A7" s="6" t="s">
        <v>6</v>
      </c>
      <c r="B7" s="6" t="s">
        <v>9</v>
      </c>
      <c r="C7" s="34"/>
      <c r="D7" s="6" t="s">
        <v>12</v>
      </c>
      <c r="E7" s="34"/>
      <c r="F7" s="6" t="s">
        <v>16</v>
      </c>
      <c r="G7" s="6" t="s">
        <v>306</v>
      </c>
      <c r="H7" s="17"/>
      <c r="I7" s="6" t="s">
        <v>16</v>
      </c>
      <c r="J7" s="17" t="s">
        <v>24</v>
      </c>
      <c r="K7" s="17" t="s">
        <v>24</v>
      </c>
      <c r="L7" s="6"/>
    </row>
    <row r="8" spans="1:12">
      <c r="A8" s="7"/>
      <c r="B8" s="3" t="s">
        <v>28</v>
      </c>
      <c r="C8" s="8" t="s">
        <v>370</v>
      </c>
      <c r="D8" s="9">
        <v>8014</v>
      </c>
      <c r="E8" s="9">
        <v>7989</v>
      </c>
      <c r="F8" s="1"/>
      <c r="G8" s="1"/>
      <c r="H8" s="9"/>
      <c r="I8" s="1"/>
      <c r="J8" s="9"/>
      <c r="K8" s="9">
        <v>-2</v>
      </c>
      <c r="L8" s="9">
        <f>SUM(E8:K8)</f>
        <v>7987</v>
      </c>
    </row>
    <row r="9" spans="1:12">
      <c r="A9" s="7"/>
      <c r="B9" s="3" t="s">
        <v>29</v>
      </c>
      <c r="C9" s="8" t="s">
        <v>30</v>
      </c>
      <c r="D9" s="9">
        <v>9162</v>
      </c>
      <c r="E9" s="9">
        <v>9134</v>
      </c>
      <c r="F9" s="1"/>
      <c r="G9" s="1"/>
      <c r="H9" s="9"/>
      <c r="I9" s="1"/>
      <c r="J9" s="9"/>
      <c r="K9" s="9"/>
      <c r="L9" s="9">
        <f>SUM(E9:K9)</f>
        <v>9134</v>
      </c>
    </row>
    <row r="10" spans="1:12">
      <c r="A10" s="7"/>
      <c r="B10" s="3" t="s">
        <v>31</v>
      </c>
      <c r="C10" s="8" t="s">
        <v>307</v>
      </c>
      <c r="D10" s="9">
        <v>34743</v>
      </c>
      <c r="E10" s="9">
        <v>32150</v>
      </c>
      <c r="F10" s="1"/>
      <c r="G10" s="1"/>
      <c r="H10" s="9"/>
      <c r="I10" s="1"/>
      <c r="J10" s="9"/>
      <c r="K10" s="9">
        <v>6430</v>
      </c>
      <c r="L10" s="9">
        <f>SUM(E10:K10)</f>
        <v>38580</v>
      </c>
    </row>
    <row r="11" spans="1:12">
      <c r="A11" s="7"/>
      <c r="B11" s="3" t="s">
        <v>32</v>
      </c>
      <c r="C11" s="8" t="s">
        <v>308</v>
      </c>
      <c r="D11" s="9">
        <v>75127</v>
      </c>
      <c r="E11" s="9">
        <v>69811</v>
      </c>
      <c r="F11" s="1"/>
      <c r="G11" s="1"/>
      <c r="H11" s="9"/>
      <c r="I11" s="1">
        <v>-174</v>
      </c>
      <c r="J11" s="9"/>
      <c r="K11" s="9">
        <v>9162</v>
      </c>
      <c r="L11" s="9">
        <f>SUM(E11:K11)</f>
        <v>78799</v>
      </c>
    </row>
    <row r="12" spans="1:12">
      <c r="A12" s="7"/>
      <c r="B12" s="3" t="s">
        <v>33</v>
      </c>
      <c r="C12" s="8" t="s">
        <v>309</v>
      </c>
      <c r="D12" s="9">
        <v>142262</v>
      </c>
      <c r="E12" s="9">
        <v>144296</v>
      </c>
      <c r="F12" s="1"/>
      <c r="G12" s="1"/>
      <c r="H12" s="9"/>
      <c r="I12" s="1">
        <v>-354</v>
      </c>
      <c r="J12" s="9"/>
      <c r="K12" s="9">
        <v>15000</v>
      </c>
      <c r="L12" s="9">
        <f>SUM(E12:K12)</f>
        <v>158942</v>
      </c>
    </row>
    <row r="13" spans="1:12">
      <c r="A13" s="3" t="s">
        <v>34</v>
      </c>
      <c r="B13" s="2"/>
      <c r="C13" s="8" t="s">
        <v>35</v>
      </c>
      <c r="D13" s="7"/>
      <c r="E13" s="1" t="s">
        <v>36</v>
      </c>
      <c r="F13" s="1"/>
      <c r="G13" s="1"/>
      <c r="H13" s="9"/>
      <c r="I13" s="7"/>
      <c r="J13" s="20"/>
      <c r="K13" s="18"/>
      <c r="L13" s="1" t="s">
        <v>38</v>
      </c>
    </row>
    <row r="14" spans="1:12">
      <c r="A14" s="7"/>
      <c r="B14" s="3" t="s">
        <v>39</v>
      </c>
      <c r="C14" s="8" t="s">
        <v>361</v>
      </c>
      <c r="D14" s="9">
        <v>11423</v>
      </c>
      <c r="E14" s="9">
        <v>11388</v>
      </c>
      <c r="F14" s="1"/>
      <c r="G14" s="1"/>
      <c r="H14" s="9"/>
      <c r="I14" s="1">
        <v>-2</v>
      </c>
      <c r="J14" s="9"/>
      <c r="K14" s="9">
        <v>-447</v>
      </c>
      <c r="L14" s="9">
        <f t="shared" ref="L14:L25" si="0">SUM(E14:K14)</f>
        <v>10939</v>
      </c>
    </row>
    <row r="15" spans="1:12">
      <c r="A15" s="7"/>
      <c r="B15" s="3" t="s">
        <v>40</v>
      </c>
      <c r="C15" s="8" t="s">
        <v>41</v>
      </c>
      <c r="D15" s="9">
        <v>4383</v>
      </c>
      <c r="E15" s="9">
        <v>4369</v>
      </c>
      <c r="F15" s="1"/>
      <c r="G15" s="1"/>
      <c r="H15" s="9"/>
      <c r="I15" s="1"/>
      <c r="J15" s="9"/>
      <c r="K15" s="9"/>
      <c r="L15" s="9">
        <f t="shared" si="0"/>
        <v>4369</v>
      </c>
    </row>
    <row r="16" spans="1:12">
      <c r="A16" s="7"/>
      <c r="B16" s="3" t="s">
        <v>42</v>
      </c>
      <c r="C16" s="8" t="s">
        <v>310</v>
      </c>
      <c r="D16" s="9">
        <v>24992</v>
      </c>
      <c r="E16" s="9">
        <v>23758</v>
      </c>
      <c r="F16" s="1"/>
      <c r="G16" s="1"/>
      <c r="H16" s="9"/>
      <c r="I16" s="1">
        <v>-65</v>
      </c>
      <c r="J16" s="9"/>
      <c r="K16" s="9">
        <v>1000</v>
      </c>
      <c r="L16" s="9">
        <f t="shared" si="0"/>
        <v>24693</v>
      </c>
    </row>
    <row r="17" spans="1:12">
      <c r="A17" s="7"/>
      <c r="B17" s="3" t="s">
        <v>44</v>
      </c>
      <c r="C17" s="8" t="s">
        <v>362</v>
      </c>
      <c r="D17" s="9">
        <v>16867</v>
      </c>
      <c r="E17" s="9">
        <v>16815</v>
      </c>
      <c r="F17" s="1"/>
      <c r="G17" s="1"/>
      <c r="H17" s="9"/>
      <c r="I17" s="1">
        <v>-41</v>
      </c>
      <c r="J17" s="9"/>
      <c r="K17" s="9">
        <v>500</v>
      </c>
      <c r="L17" s="9">
        <f t="shared" si="0"/>
        <v>17274</v>
      </c>
    </row>
    <row r="18" spans="1:12">
      <c r="A18" s="7"/>
      <c r="B18" s="3" t="s">
        <v>45</v>
      </c>
      <c r="C18" s="8" t="s">
        <v>311</v>
      </c>
      <c r="D18" s="9">
        <v>103153</v>
      </c>
      <c r="E18" s="9">
        <v>93384</v>
      </c>
      <c r="F18" s="1"/>
      <c r="G18" s="1"/>
      <c r="H18" s="9"/>
      <c r="I18" s="1">
        <v>-232</v>
      </c>
      <c r="J18" s="9"/>
      <c r="K18" s="9">
        <f>5000+1600</f>
        <v>6600</v>
      </c>
      <c r="L18" s="9">
        <f t="shared" si="0"/>
        <v>99752</v>
      </c>
    </row>
    <row r="19" spans="1:12">
      <c r="A19" s="7"/>
      <c r="B19" s="3" t="s">
        <v>46</v>
      </c>
      <c r="C19" s="8" t="s">
        <v>47</v>
      </c>
      <c r="D19" s="9">
        <v>51482</v>
      </c>
      <c r="E19" s="9">
        <v>44943</v>
      </c>
      <c r="F19" s="1"/>
      <c r="G19" s="1"/>
      <c r="H19" s="9"/>
      <c r="I19" s="1"/>
      <c r="J19" s="9"/>
      <c r="K19" s="9"/>
      <c r="L19" s="9">
        <f t="shared" si="0"/>
        <v>44943</v>
      </c>
    </row>
    <row r="20" spans="1:12">
      <c r="A20" s="7"/>
      <c r="B20" s="3" t="s">
        <v>48</v>
      </c>
      <c r="C20" s="8" t="s">
        <v>363</v>
      </c>
      <c r="D20" s="9">
        <v>15672</v>
      </c>
      <c r="E20" s="9">
        <v>12334</v>
      </c>
      <c r="F20" s="1"/>
      <c r="G20" s="1"/>
      <c r="H20" s="9"/>
      <c r="I20" s="1">
        <v>-31</v>
      </c>
      <c r="J20" s="9">
        <v>6600</v>
      </c>
      <c r="K20" s="9">
        <v>-500</v>
      </c>
      <c r="L20" s="9">
        <f t="shared" si="0"/>
        <v>18403</v>
      </c>
    </row>
    <row r="21" spans="1:12">
      <c r="A21" s="7"/>
      <c r="B21" s="3" t="s">
        <v>50</v>
      </c>
      <c r="C21" s="8" t="s">
        <v>332</v>
      </c>
      <c r="D21" s="9">
        <v>10641</v>
      </c>
      <c r="E21" s="9">
        <v>10608</v>
      </c>
      <c r="F21" s="1"/>
      <c r="G21" s="1"/>
      <c r="H21" s="9"/>
      <c r="I21" s="1">
        <v>-25</v>
      </c>
      <c r="J21" s="9"/>
      <c r="K21" s="9">
        <v>-817</v>
      </c>
      <c r="L21" s="9">
        <f t="shared" si="0"/>
        <v>9766</v>
      </c>
    </row>
    <row r="22" spans="1:12">
      <c r="A22" s="7"/>
      <c r="B22" s="3" t="s">
        <v>51</v>
      </c>
      <c r="C22" s="8" t="s">
        <v>312</v>
      </c>
      <c r="D22" s="9">
        <v>315323</v>
      </c>
      <c r="E22" s="9">
        <v>313149</v>
      </c>
      <c r="F22" s="1"/>
      <c r="G22" s="1"/>
      <c r="H22" s="9"/>
      <c r="I22" s="1">
        <v>-245</v>
      </c>
      <c r="J22" s="9"/>
      <c r="K22" s="9">
        <f>7162-3600</f>
        <v>3562</v>
      </c>
      <c r="L22" s="9">
        <f t="shared" si="0"/>
        <v>316466</v>
      </c>
    </row>
    <row r="23" spans="1:12">
      <c r="A23" s="7"/>
      <c r="B23" s="3" t="s">
        <v>52</v>
      </c>
      <c r="C23" s="8" t="s">
        <v>313</v>
      </c>
      <c r="D23" s="9">
        <v>6642</v>
      </c>
      <c r="E23" s="9">
        <v>6622</v>
      </c>
      <c r="F23" s="1"/>
      <c r="G23" s="1"/>
      <c r="H23" s="9"/>
      <c r="I23" s="1"/>
      <c r="J23" s="9">
        <v>-1357</v>
      </c>
      <c r="K23" s="9">
        <v>-365</v>
      </c>
      <c r="L23" s="9">
        <f t="shared" si="0"/>
        <v>4900</v>
      </c>
    </row>
    <row r="24" spans="1:12">
      <c r="A24" s="7"/>
      <c r="B24" s="3" t="s">
        <v>53</v>
      </c>
      <c r="C24" s="8" t="s">
        <v>54</v>
      </c>
      <c r="D24" s="9">
        <v>31272</v>
      </c>
      <c r="E24" s="9">
        <v>31213</v>
      </c>
      <c r="F24" s="1"/>
      <c r="G24" s="1"/>
      <c r="H24" s="9"/>
      <c r="I24" s="1"/>
      <c r="J24" s="9"/>
      <c r="K24" s="9"/>
      <c r="L24" s="9">
        <f t="shared" si="0"/>
        <v>31213</v>
      </c>
    </row>
    <row r="25" spans="1:12">
      <c r="A25" s="7"/>
      <c r="B25" s="3" t="s">
        <v>55</v>
      </c>
      <c r="C25" s="8" t="s">
        <v>314</v>
      </c>
      <c r="D25" s="9">
        <v>127554</v>
      </c>
      <c r="E25" s="9">
        <v>121632</v>
      </c>
      <c r="F25" s="1"/>
      <c r="G25" s="1"/>
      <c r="H25" s="9"/>
      <c r="I25" s="1">
        <v>-9</v>
      </c>
      <c r="J25" s="9"/>
      <c r="K25" s="9">
        <f>1323+680-77</f>
        <v>1926</v>
      </c>
      <c r="L25" s="9">
        <f t="shared" si="0"/>
        <v>123549</v>
      </c>
    </row>
    <row r="26" spans="1:12">
      <c r="A26" s="3" t="s">
        <v>34</v>
      </c>
      <c r="B26" s="2"/>
      <c r="C26" s="8" t="s">
        <v>56</v>
      </c>
      <c r="D26" s="7"/>
      <c r="E26" s="1" t="s">
        <v>57</v>
      </c>
      <c r="F26" s="1"/>
      <c r="G26" s="1"/>
      <c r="H26" s="9"/>
      <c r="I26" s="7"/>
      <c r="J26" s="20"/>
      <c r="K26" s="18"/>
      <c r="L26" s="1" t="s">
        <v>58</v>
      </c>
    </row>
    <row r="27" spans="1:12">
      <c r="A27" s="3" t="s">
        <v>34</v>
      </c>
      <c r="B27" s="2"/>
      <c r="C27" s="8" t="s">
        <v>59</v>
      </c>
      <c r="D27" s="7"/>
      <c r="E27" s="1" t="s">
        <v>60</v>
      </c>
      <c r="F27" s="1"/>
      <c r="G27" s="1"/>
      <c r="H27" s="9"/>
      <c r="I27" s="7"/>
      <c r="J27" s="20"/>
      <c r="K27" s="18"/>
      <c r="L27" s="1" t="s">
        <v>61</v>
      </c>
    </row>
    <row r="28" spans="1:12">
      <c r="A28" s="3" t="s">
        <v>34</v>
      </c>
      <c r="B28" s="2"/>
      <c r="C28" s="8" t="s">
        <v>62</v>
      </c>
      <c r="D28" s="7"/>
      <c r="E28" s="1" t="s">
        <v>63</v>
      </c>
      <c r="F28" s="1"/>
      <c r="G28" s="1"/>
      <c r="H28" s="9"/>
      <c r="I28" s="7"/>
      <c r="J28" s="20"/>
      <c r="K28" s="18"/>
      <c r="L28" s="1" t="s">
        <v>64</v>
      </c>
    </row>
    <row r="29" spans="1:12">
      <c r="A29" s="3" t="s">
        <v>34</v>
      </c>
      <c r="B29" s="2"/>
      <c r="C29" s="8" t="s">
        <v>65</v>
      </c>
      <c r="D29" s="7"/>
      <c r="E29" s="1" t="s">
        <v>66</v>
      </c>
      <c r="F29" s="1"/>
      <c r="G29" s="1"/>
      <c r="H29" s="9"/>
      <c r="I29" s="7"/>
      <c r="J29" s="20"/>
      <c r="K29" s="18"/>
      <c r="L29" s="1" t="s">
        <v>67</v>
      </c>
    </row>
    <row r="30" spans="1:12">
      <c r="A30" s="7"/>
      <c r="B30" s="3" t="s">
        <v>68</v>
      </c>
      <c r="C30" s="8" t="s">
        <v>364</v>
      </c>
      <c r="D30" s="9">
        <v>8899</v>
      </c>
      <c r="E30" s="9">
        <v>8872</v>
      </c>
      <c r="F30" s="1"/>
      <c r="G30" s="1"/>
      <c r="H30" s="9"/>
      <c r="I30" s="1"/>
      <c r="J30" s="9"/>
      <c r="K30" s="9">
        <v>-1633</v>
      </c>
      <c r="L30" s="9">
        <f>SUM(E30:K30)</f>
        <v>7239</v>
      </c>
    </row>
    <row r="31" spans="1:12">
      <c r="A31" s="7"/>
      <c r="B31" s="3" t="s">
        <v>69</v>
      </c>
      <c r="C31" s="8" t="s">
        <v>70</v>
      </c>
      <c r="D31" s="9">
        <v>14721</v>
      </c>
      <c r="E31" s="9">
        <v>14676</v>
      </c>
      <c r="F31" s="1"/>
      <c r="G31" s="1"/>
      <c r="H31" s="9"/>
      <c r="I31" s="1">
        <v>-34</v>
      </c>
      <c r="J31" s="9"/>
      <c r="K31" s="9"/>
      <c r="L31" s="9">
        <f>SUM(E31:K31)</f>
        <v>14642</v>
      </c>
    </row>
    <row r="32" spans="1:12">
      <c r="A32" s="7"/>
      <c r="B32" s="3" t="s">
        <v>71</v>
      </c>
      <c r="C32" s="8" t="s">
        <v>72</v>
      </c>
      <c r="D32" s="9">
        <v>262354</v>
      </c>
      <c r="E32" s="9">
        <v>261545</v>
      </c>
      <c r="F32" s="1"/>
      <c r="G32" s="1"/>
      <c r="H32" s="9"/>
      <c r="I32" s="1"/>
      <c r="J32" s="9"/>
      <c r="K32" s="9"/>
      <c r="L32" s="9">
        <f>SUM(E32:K32)</f>
        <v>261545</v>
      </c>
    </row>
    <row r="33" spans="1:12">
      <c r="A33" s="7"/>
      <c r="B33" s="3" t="s">
        <v>73</v>
      </c>
      <c r="C33" s="8" t="s">
        <v>333</v>
      </c>
      <c r="D33" s="9">
        <v>5304</v>
      </c>
      <c r="E33" s="9">
        <v>5288</v>
      </c>
      <c r="F33" s="1"/>
      <c r="G33" s="1"/>
      <c r="H33" s="9"/>
      <c r="I33" s="1"/>
      <c r="J33" s="9"/>
      <c r="K33" s="9">
        <v>-380</v>
      </c>
      <c r="L33" s="9">
        <f>SUM(E33:K33)</f>
        <v>4908</v>
      </c>
    </row>
    <row r="34" spans="1:12">
      <c r="A34" s="7"/>
      <c r="B34" s="3" t="s">
        <v>74</v>
      </c>
      <c r="C34" s="8" t="s">
        <v>75</v>
      </c>
      <c r="D34" s="9">
        <v>48318</v>
      </c>
      <c r="E34" s="9">
        <v>51858</v>
      </c>
      <c r="F34" s="1"/>
      <c r="G34" s="1"/>
      <c r="H34" s="9"/>
      <c r="I34" s="1">
        <f>-35-5+1</f>
        <v>-39</v>
      </c>
      <c r="J34" s="9">
        <f>-4187+11500</f>
        <v>7313</v>
      </c>
      <c r="K34" s="9">
        <v>-350</v>
      </c>
      <c r="L34" s="9">
        <f>SUM(E34:K34)</f>
        <v>58782</v>
      </c>
    </row>
    <row r="35" spans="1:12">
      <c r="A35" s="3" t="s">
        <v>34</v>
      </c>
      <c r="B35" s="2"/>
      <c r="C35" s="8" t="s">
        <v>76</v>
      </c>
      <c r="D35" s="7"/>
      <c r="E35" s="1" t="s">
        <v>77</v>
      </c>
      <c r="F35" s="1"/>
      <c r="G35" s="1"/>
      <c r="H35" s="9"/>
      <c r="I35" s="7"/>
      <c r="J35" s="20"/>
      <c r="K35" s="18"/>
      <c r="L35" s="1" t="s">
        <v>77</v>
      </c>
    </row>
    <row r="36" spans="1:12">
      <c r="A36" s="3" t="s">
        <v>34</v>
      </c>
      <c r="B36" s="2"/>
      <c r="C36" s="8" t="s">
        <v>78</v>
      </c>
      <c r="D36" s="7"/>
      <c r="E36" s="1" t="s">
        <v>79</v>
      </c>
      <c r="F36" s="1"/>
      <c r="G36" s="1"/>
      <c r="H36" s="9"/>
      <c r="I36" s="7"/>
      <c r="J36" s="20"/>
      <c r="K36" s="18"/>
      <c r="L36" s="1" t="s">
        <v>79</v>
      </c>
    </row>
    <row r="37" spans="1:12">
      <c r="A37" s="3" t="s">
        <v>34</v>
      </c>
      <c r="B37" s="2"/>
      <c r="C37" s="8" t="s">
        <v>80</v>
      </c>
      <c r="D37" s="7"/>
      <c r="E37" s="1" t="s">
        <v>77</v>
      </c>
      <c r="F37" s="1"/>
      <c r="G37" s="1"/>
      <c r="H37" s="9"/>
      <c r="I37" s="7"/>
      <c r="J37" s="20"/>
      <c r="K37" s="18"/>
      <c r="L37" s="1" t="s">
        <v>77</v>
      </c>
    </row>
    <row r="38" spans="1:12">
      <c r="A38" s="3" t="s">
        <v>34</v>
      </c>
      <c r="B38" s="2"/>
      <c r="C38" s="8" t="s">
        <v>81</v>
      </c>
      <c r="D38" s="7"/>
      <c r="E38" s="1" t="s">
        <v>82</v>
      </c>
      <c r="F38" s="1"/>
      <c r="G38" s="1"/>
      <c r="H38" s="9"/>
      <c r="I38" s="7"/>
      <c r="J38" s="1" t="s">
        <v>326</v>
      </c>
      <c r="K38" s="18"/>
      <c r="L38" s="1" t="s">
        <v>327</v>
      </c>
    </row>
    <row r="39" spans="1:12">
      <c r="A39" s="7"/>
      <c r="B39" s="3" t="s">
        <v>83</v>
      </c>
      <c r="C39" s="8" t="s">
        <v>84</v>
      </c>
      <c r="D39" s="9">
        <v>15113</v>
      </c>
      <c r="E39" s="9">
        <v>13465</v>
      </c>
      <c r="F39" s="1"/>
      <c r="G39" s="1"/>
      <c r="H39" s="9"/>
      <c r="I39" s="1"/>
      <c r="J39" s="9"/>
      <c r="K39" s="9"/>
      <c r="L39" s="9">
        <f>SUM(E39:K39)</f>
        <v>13465</v>
      </c>
    </row>
    <row r="40" spans="1:12">
      <c r="A40" s="7"/>
      <c r="B40" s="3" t="s">
        <v>85</v>
      </c>
      <c r="C40" s="8" t="s">
        <v>86</v>
      </c>
      <c r="D40" s="9">
        <v>47172</v>
      </c>
      <c r="E40" s="9">
        <v>51214</v>
      </c>
      <c r="F40" s="1"/>
      <c r="G40" s="1"/>
      <c r="H40" s="9"/>
      <c r="I40" s="1">
        <v>-127</v>
      </c>
      <c r="J40" s="9"/>
      <c r="K40" s="9"/>
      <c r="L40" s="9">
        <f>SUM(E40:K40)</f>
        <v>51087</v>
      </c>
    </row>
    <row r="41" spans="1:12">
      <c r="A41" s="3" t="s">
        <v>34</v>
      </c>
      <c r="B41" s="2"/>
      <c r="C41" s="8" t="s">
        <v>87</v>
      </c>
      <c r="D41" s="7"/>
      <c r="E41" s="1" t="s">
        <v>82</v>
      </c>
      <c r="F41" s="1"/>
      <c r="G41" s="1"/>
      <c r="H41" s="9"/>
      <c r="I41" s="7"/>
      <c r="J41" s="20"/>
      <c r="K41" s="18"/>
      <c r="L41" s="1" t="s">
        <v>88</v>
      </c>
    </row>
    <row r="42" spans="1:12">
      <c r="A42" s="7"/>
      <c r="B42" s="3" t="s">
        <v>89</v>
      </c>
      <c r="C42" s="8" t="s">
        <v>90</v>
      </c>
      <c r="D42" s="9">
        <v>136683</v>
      </c>
      <c r="E42" s="9">
        <v>136261</v>
      </c>
      <c r="F42" s="1"/>
      <c r="G42" s="1"/>
      <c r="H42" s="9"/>
      <c r="I42" s="1"/>
      <c r="J42" s="9"/>
      <c r="K42" s="9"/>
      <c r="L42" s="9">
        <f>SUM(E42:K42)</f>
        <v>136261</v>
      </c>
    </row>
    <row r="43" spans="1:12">
      <c r="A43" s="7"/>
      <c r="B43" s="3" t="s">
        <v>91</v>
      </c>
      <c r="C43" s="8" t="s">
        <v>315</v>
      </c>
      <c r="D43" s="9">
        <v>137259</v>
      </c>
      <c r="E43" s="9">
        <v>116897</v>
      </c>
      <c r="F43" s="1"/>
      <c r="G43" s="1"/>
      <c r="H43" s="9"/>
      <c r="I43" s="1"/>
      <c r="J43" s="9">
        <v>-18480</v>
      </c>
      <c r="K43" s="9">
        <v>-18030</v>
      </c>
      <c r="L43" s="9">
        <f>SUM(E43:K43)</f>
        <v>80387</v>
      </c>
    </row>
    <row r="44" spans="1:12">
      <c r="A44" s="7"/>
      <c r="B44" s="3" t="s">
        <v>92</v>
      </c>
      <c r="C44" s="8" t="s">
        <v>316</v>
      </c>
      <c r="D44" s="9">
        <v>117856</v>
      </c>
      <c r="E44" s="9">
        <v>118021</v>
      </c>
      <c r="F44" s="1"/>
      <c r="G44" s="1"/>
      <c r="H44" s="9"/>
      <c r="I44" s="1"/>
      <c r="J44" s="9"/>
      <c r="K44" s="9">
        <f>-285+79</f>
        <v>-206</v>
      </c>
      <c r="L44" s="9">
        <f>SUM(E44:K44)</f>
        <v>117815</v>
      </c>
    </row>
    <row r="45" spans="1:12">
      <c r="A45" s="3" t="s">
        <v>34</v>
      </c>
      <c r="B45" s="2"/>
      <c r="C45" s="8" t="s">
        <v>93</v>
      </c>
      <c r="D45" s="7"/>
      <c r="E45" s="1" t="s">
        <v>57</v>
      </c>
      <c r="F45" s="1"/>
      <c r="G45" s="1"/>
      <c r="H45" s="9"/>
      <c r="I45" s="7"/>
      <c r="J45" s="20"/>
      <c r="K45" s="18"/>
      <c r="L45" s="1" t="s">
        <v>58</v>
      </c>
    </row>
    <row r="46" spans="1:12">
      <c r="A46" s="7"/>
      <c r="B46" s="7"/>
      <c r="C46" s="10" t="s">
        <v>94</v>
      </c>
      <c r="D46" s="11">
        <f>SUM(D8:D45)</f>
        <v>1782391</v>
      </c>
      <c r="E46" s="11">
        <f>SUM(E8:E45)</f>
        <v>1731692</v>
      </c>
      <c r="F46" s="12"/>
      <c r="G46" s="12"/>
      <c r="H46" s="11"/>
      <c r="I46" s="11">
        <f>SUM(I8:I45)</f>
        <v>-1378</v>
      </c>
      <c r="J46" s="11">
        <f>SUM(J8:J45)</f>
        <v>-5924</v>
      </c>
      <c r="K46" s="11">
        <f>SUM(K8:K45)</f>
        <v>21450</v>
      </c>
      <c r="L46" s="11">
        <f>SUM(L8:L45)</f>
        <v>1745840</v>
      </c>
    </row>
    <row r="47" spans="1:12">
      <c r="A47" s="7"/>
      <c r="B47" s="3" t="s">
        <v>95</v>
      </c>
      <c r="C47" s="8" t="s">
        <v>96</v>
      </c>
      <c r="D47" s="9">
        <v>13476</v>
      </c>
      <c r="E47" s="9">
        <v>13434</v>
      </c>
      <c r="F47" s="1"/>
      <c r="G47" s="1"/>
      <c r="H47" s="9"/>
      <c r="I47" s="1">
        <v>-33</v>
      </c>
      <c r="J47" s="9"/>
      <c r="K47" s="9"/>
      <c r="L47" s="9">
        <f>SUM(E47:K47)</f>
        <v>13401</v>
      </c>
    </row>
    <row r="48" spans="1:12">
      <c r="A48" s="7"/>
      <c r="B48" s="3" t="s">
        <v>97</v>
      </c>
      <c r="C48" s="8" t="s">
        <v>98</v>
      </c>
      <c r="D48" s="9">
        <v>9968</v>
      </c>
      <c r="E48" s="9">
        <v>13127</v>
      </c>
      <c r="F48" s="1"/>
      <c r="G48" s="1"/>
      <c r="H48" s="9"/>
      <c r="I48" s="1"/>
      <c r="J48" s="9"/>
      <c r="K48" s="9"/>
      <c r="L48" s="9">
        <f>SUM(E48:K48)</f>
        <v>13127</v>
      </c>
    </row>
    <row r="49" spans="1:12">
      <c r="A49" s="3" t="s">
        <v>34</v>
      </c>
      <c r="B49" s="2"/>
      <c r="C49" s="8" t="s">
        <v>99</v>
      </c>
      <c r="D49" s="7"/>
      <c r="E49" s="1" t="s">
        <v>66</v>
      </c>
      <c r="F49" s="1"/>
      <c r="G49" s="1"/>
      <c r="H49" s="9"/>
      <c r="I49" s="7"/>
      <c r="J49" s="20"/>
      <c r="K49" s="18"/>
      <c r="L49" s="1" t="s">
        <v>67</v>
      </c>
    </row>
    <row r="50" spans="1:12">
      <c r="A50" s="7"/>
      <c r="B50" s="3" t="s">
        <v>100</v>
      </c>
      <c r="C50" s="8" t="s">
        <v>317</v>
      </c>
      <c r="D50" s="9">
        <v>111093</v>
      </c>
      <c r="E50" s="9">
        <v>77123</v>
      </c>
      <c r="F50" s="1"/>
      <c r="G50" s="1"/>
      <c r="H50" s="9"/>
      <c r="I50" s="1">
        <v>-192</v>
      </c>
      <c r="J50" s="9"/>
      <c r="K50" s="9">
        <v>-5000</v>
      </c>
      <c r="L50" s="9">
        <f>SUM(E50:K50)</f>
        <v>71931</v>
      </c>
    </row>
    <row r="51" spans="1:12">
      <c r="A51" s="7"/>
      <c r="B51" s="3" t="s">
        <v>101</v>
      </c>
      <c r="C51" s="8" t="s">
        <v>102</v>
      </c>
      <c r="D51" s="9">
        <v>299962</v>
      </c>
      <c r="E51" s="9">
        <v>296764</v>
      </c>
      <c r="F51" s="1"/>
      <c r="G51" s="1"/>
      <c r="H51" s="9"/>
      <c r="I51" s="1">
        <f>-262-12-470</f>
        <v>-744</v>
      </c>
      <c r="J51" s="9">
        <f>-4000-9765</f>
        <v>-13765</v>
      </c>
      <c r="K51" s="9">
        <v>-4445</v>
      </c>
      <c r="L51" s="9">
        <f>SUM(E51:K51)</f>
        <v>277810</v>
      </c>
    </row>
    <row r="52" spans="1:12">
      <c r="A52" s="3" t="s">
        <v>34</v>
      </c>
      <c r="B52" s="2"/>
      <c r="C52" s="8" t="s">
        <v>103</v>
      </c>
      <c r="D52" s="7"/>
      <c r="E52" s="1" t="s">
        <v>104</v>
      </c>
      <c r="F52" s="1"/>
      <c r="G52" s="1"/>
      <c r="H52" s="9"/>
      <c r="I52" s="7"/>
      <c r="J52" s="1" t="s">
        <v>331</v>
      </c>
      <c r="K52" s="18"/>
      <c r="L52" s="1" t="s">
        <v>329</v>
      </c>
    </row>
    <row r="53" spans="1:12">
      <c r="A53" s="7"/>
      <c r="B53" s="3" t="s">
        <v>105</v>
      </c>
      <c r="C53" s="8" t="s">
        <v>106</v>
      </c>
      <c r="D53" s="9">
        <v>38705</v>
      </c>
      <c r="E53" s="9">
        <v>30454</v>
      </c>
      <c r="F53" s="1"/>
      <c r="G53" s="1"/>
      <c r="H53" s="9"/>
      <c r="I53" s="1">
        <v>-100</v>
      </c>
      <c r="J53" s="9"/>
      <c r="K53" s="9"/>
      <c r="L53" s="9">
        <f>SUM(E53:K53)</f>
        <v>30354</v>
      </c>
    </row>
    <row r="54" spans="1:12">
      <c r="A54" s="7"/>
      <c r="B54" s="3" t="s">
        <v>107</v>
      </c>
      <c r="C54" s="8" t="s">
        <v>108</v>
      </c>
      <c r="D54" s="9">
        <v>13537</v>
      </c>
      <c r="E54" s="9">
        <v>11857</v>
      </c>
      <c r="F54" s="1"/>
      <c r="G54" s="1"/>
      <c r="H54" s="9"/>
      <c r="I54" s="1">
        <v>-30</v>
      </c>
      <c r="J54" s="9"/>
      <c r="K54" s="9"/>
      <c r="L54" s="9">
        <f>SUM(E54:K54)</f>
        <v>11827</v>
      </c>
    </row>
    <row r="55" spans="1:12">
      <c r="A55" s="7"/>
      <c r="B55" s="3" t="s">
        <v>109</v>
      </c>
      <c r="C55" s="8" t="s">
        <v>334</v>
      </c>
      <c r="D55" s="9">
        <v>20681</v>
      </c>
      <c r="E55" s="9">
        <v>13439</v>
      </c>
      <c r="F55" s="1"/>
      <c r="G55" s="1"/>
      <c r="H55" s="9"/>
      <c r="I55" s="1">
        <v>-30</v>
      </c>
      <c r="J55" s="9"/>
      <c r="K55" s="9">
        <v>817</v>
      </c>
      <c r="L55" s="9">
        <f>SUM(E55:K55)</f>
        <v>14226</v>
      </c>
    </row>
    <row r="56" spans="1:12">
      <c r="A56" s="3" t="s">
        <v>34</v>
      </c>
      <c r="B56" s="2"/>
      <c r="C56" s="8" t="s">
        <v>110</v>
      </c>
      <c r="D56" s="7"/>
      <c r="E56" s="1" t="s">
        <v>57</v>
      </c>
      <c r="F56" s="1"/>
      <c r="G56" s="1"/>
      <c r="H56" s="9"/>
      <c r="I56" s="7"/>
      <c r="J56" s="20"/>
      <c r="K56" s="18"/>
      <c r="L56" s="1" t="s">
        <v>58</v>
      </c>
    </row>
    <row r="57" spans="1:12">
      <c r="A57" s="7"/>
      <c r="B57" s="3" t="s">
        <v>111</v>
      </c>
      <c r="C57" s="8" t="s">
        <v>112</v>
      </c>
      <c r="D57" s="9">
        <v>2184</v>
      </c>
      <c r="E57" s="9">
        <v>10153</v>
      </c>
      <c r="F57" s="1"/>
      <c r="G57" s="1"/>
      <c r="H57" s="9"/>
      <c r="I57" s="1">
        <v>-25</v>
      </c>
      <c r="J57" s="9"/>
      <c r="K57" s="9"/>
      <c r="L57" s="9">
        <f>SUM(E57:K57)</f>
        <v>10128</v>
      </c>
    </row>
    <row r="58" spans="1:12">
      <c r="A58" s="3" t="s">
        <v>34</v>
      </c>
      <c r="B58" s="2"/>
      <c r="C58" s="8" t="s">
        <v>113</v>
      </c>
      <c r="D58" s="7"/>
      <c r="E58" s="1" t="s">
        <v>114</v>
      </c>
      <c r="F58" s="1"/>
      <c r="G58" s="1"/>
      <c r="H58" s="9"/>
      <c r="I58" s="7"/>
      <c r="J58" s="20"/>
      <c r="K58" s="18"/>
      <c r="L58" s="1" t="s">
        <v>115</v>
      </c>
    </row>
    <row r="59" spans="1:12">
      <c r="A59" s="7"/>
      <c r="B59" s="3" t="s">
        <v>116</v>
      </c>
      <c r="C59" s="8" t="s">
        <v>117</v>
      </c>
      <c r="D59" s="9">
        <v>63017</v>
      </c>
      <c r="E59" s="9">
        <v>62823</v>
      </c>
      <c r="F59" s="1"/>
      <c r="G59" s="1"/>
      <c r="H59" s="9"/>
      <c r="I59" s="1"/>
      <c r="J59" s="9"/>
      <c r="K59" s="9"/>
      <c r="L59" s="9">
        <f>SUM(E59:K59)</f>
        <v>62823</v>
      </c>
    </row>
    <row r="60" spans="1:12">
      <c r="A60" s="7"/>
      <c r="B60" s="3" t="s">
        <v>118</v>
      </c>
      <c r="C60" s="8" t="s">
        <v>119</v>
      </c>
      <c r="D60" s="9">
        <v>24108</v>
      </c>
      <c r="E60" s="9">
        <v>24034</v>
      </c>
      <c r="F60" s="1"/>
      <c r="G60" s="1"/>
      <c r="H60" s="9"/>
      <c r="I60" s="1"/>
      <c r="J60" s="9"/>
      <c r="K60" s="9"/>
      <c r="L60" s="9">
        <f>SUM(E60:K60)</f>
        <v>24034</v>
      </c>
    </row>
    <row r="61" spans="1:12">
      <c r="A61" s="7"/>
      <c r="B61" s="3" t="s">
        <v>120</v>
      </c>
      <c r="C61" s="8" t="s">
        <v>350</v>
      </c>
      <c r="D61" s="9">
        <v>22464</v>
      </c>
      <c r="E61" s="9">
        <v>22395</v>
      </c>
      <c r="F61" s="1"/>
      <c r="G61" s="1"/>
      <c r="H61" s="9"/>
      <c r="I61" s="1"/>
      <c r="J61" s="9"/>
      <c r="K61" s="9">
        <v>-56</v>
      </c>
      <c r="L61" s="9">
        <f>SUM(E61:K61)</f>
        <v>22339</v>
      </c>
    </row>
    <row r="62" spans="1:12">
      <c r="A62" s="7"/>
      <c r="B62" s="3" t="s">
        <v>121</v>
      </c>
      <c r="C62" s="8" t="s">
        <v>122</v>
      </c>
      <c r="D62" s="9">
        <v>34264</v>
      </c>
      <c r="E62" s="9">
        <v>31171</v>
      </c>
      <c r="F62" s="1"/>
      <c r="G62" s="1"/>
      <c r="H62" s="9"/>
      <c r="I62" s="1">
        <v>-78</v>
      </c>
      <c r="J62" s="9"/>
      <c r="K62" s="9"/>
      <c r="L62" s="9">
        <f>SUM(E62:K62)</f>
        <v>31093</v>
      </c>
    </row>
    <row r="63" spans="1:12">
      <c r="A63" s="7"/>
      <c r="B63" s="3" t="s">
        <v>123</v>
      </c>
      <c r="C63" s="8" t="s">
        <v>124</v>
      </c>
      <c r="D63" s="9">
        <v>105883</v>
      </c>
      <c r="E63" s="9">
        <v>89406</v>
      </c>
      <c r="F63" s="1"/>
      <c r="G63" s="1"/>
      <c r="H63" s="9"/>
      <c r="I63" s="1"/>
      <c r="J63" s="9"/>
      <c r="K63" s="9"/>
      <c r="L63" s="9">
        <f>SUM(E63:K63)</f>
        <v>89406</v>
      </c>
    </row>
    <row r="64" spans="1:12">
      <c r="A64" s="3" t="s">
        <v>34</v>
      </c>
      <c r="B64" s="2"/>
      <c r="C64" s="8" t="s">
        <v>125</v>
      </c>
      <c r="D64" s="7"/>
      <c r="E64" s="1" t="s">
        <v>60</v>
      </c>
      <c r="F64" s="1"/>
      <c r="G64" s="1"/>
      <c r="H64" s="9"/>
      <c r="I64" s="7"/>
      <c r="J64" s="20"/>
      <c r="K64" s="18"/>
      <c r="L64" s="1" t="s">
        <v>61</v>
      </c>
    </row>
    <row r="65" spans="1:12">
      <c r="A65" s="7"/>
      <c r="B65" s="3" t="s">
        <v>126</v>
      </c>
      <c r="C65" s="8" t="s">
        <v>127</v>
      </c>
      <c r="D65" s="9">
        <v>98645</v>
      </c>
      <c r="E65" s="9">
        <v>86228</v>
      </c>
      <c r="F65" s="1"/>
      <c r="G65" s="1"/>
      <c r="H65" s="9"/>
      <c r="I65" s="1">
        <v>-215</v>
      </c>
      <c r="J65" s="9">
        <v>-2991</v>
      </c>
      <c r="K65" s="9">
        <v>-10665</v>
      </c>
      <c r="L65" s="9">
        <f>SUM(E65:K65)</f>
        <v>72357</v>
      </c>
    </row>
    <row r="66" spans="1:12">
      <c r="A66" s="3" t="s">
        <v>34</v>
      </c>
      <c r="B66" s="2"/>
      <c r="C66" s="8" t="s">
        <v>128</v>
      </c>
      <c r="D66" s="7"/>
      <c r="E66" s="1" t="s">
        <v>129</v>
      </c>
      <c r="F66" s="1"/>
      <c r="G66" s="1"/>
      <c r="H66" s="9"/>
      <c r="I66" s="7"/>
      <c r="J66" s="1" t="s">
        <v>328</v>
      </c>
      <c r="K66" s="18"/>
      <c r="L66" s="1" t="s">
        <v>329</v>
      </c>
    </row>
    <row r="67" spans="1:12">
      <c r="A67" s="7"/>
      <c r="B67" s="3" t="s">
        <v>130</v>
      </c>
      <c r="C67" s="8" t="s">
        <v>131</v>
      </c>
      <c r="D67" s="9">
        <v>30522</v>
      </c>
      <c r="E67" s="9">
        <v>28833</v>
      </c>
      <c r="F67" s="1"/>
      <c r="G67" s="1"/>
      <c r="H67" s="9"/>
      <c r="I67" s="1"/>
      <c r="J67" s="9"/>
      <c r="K67" s="9"/>
      <c r="L67" s="9">
        <f t="shared" ref="L67:L77" si="1">SUM(E67:K67)</f>
        <v>28833</v>
      </c>
    </row>
    <row r="68" spans="1:12">
      <c r="A68" s="7"/>
      <c r="B68" s="3" t="s">
        <v>132</v>
      </c>
      <c r="C68" s="8" t="s">
        <v>371</v>
      </c>
      <c r="D68" s="9">
        <v>13594</v>
      </c>
      <c r="E68" s="9">
        <v>13552</v>
      </c>
      <c r="F68" s="1"/>
      <c r="G68" s="1"/>
      <c r="H68" s="9"/>
      <c r="I68" s="1"/>
      <c r="J68" s="9"/>
      <c r="K68" s="9">
        <f>-34-218</f>
        <v>-252</v>
      </c>
      <c r="L68" s="9">
        <f t="shared" si="1"/>
        <v>13300</v>
      </c>
    </row>
    <row r="69" spans="1:12">
      <c r="A69" s="7"/>
      <c r="B69" s="3" t="s">
        <v>133</v>
      </c>
      <c r="C69" s="8" t="s">
        <v>351</v>
      </c>
      <c r="D69" s="9">
        <v>35933</v>
      </c>
      <c r="E69" s="9">
        <v>35822</v>
      </c>
      <c r="F69" s="1"/>
      <c r="G69" s="1"/>
      <c r="H69" s="9"/>
      <c r="I69" s="1"/>
      <c r="J69" s="9"/>
      <c r="K69" s="9">
        <f>-80-9</f>
        <v>-89</v>
      </c>
      <c r="L69" s="9">
        <f t="shared" si="1"/>
        <v>35733</v>
      </c>
    </row>
    <row r="70" spans="1:12">
      <c r="A70" s="7"/>
      <c r="B70" s="3" t="s">
        <v>134</v>
      </c>
      <c r="C70" s="8" t="s">
        <v>352</v>
      </c>
      <c r="D70" s="9">
        <v>7314</v>
      </c>
      <c r="E70" s="9">
        <v>4301</v>
      </c>
      <c r="F70" s="1"/>
      <c r="G70" s="1"/>
      <c r="H70" s="9"/>
      <c r="I70" s="1"/>
      <c r="J70" s="9"/>
      <c r="K70" s="9">
        <v>-16</v>
      </c>
      <c r="L70" s="9">
        <f t="shared" si="1"/>
        <v>4285</v>
      </c>
    </row>
    <row r="71" spans="1:12">
      <c r="A71" s="7"/>
      <c r="B71" s="3" t="s">
        <v>135</v>
      </c>
      <c r="C71" s="8" t="s">
        <v>318</v>
      </c>
      <c r="D71" s="9">
        <v>79091</v>
      </c>
      <c r="E71" s="9">
        <v>72062</v>
      </c>
      <c r="F71" s="1"/>
      <c r="G71" s="1"/>
      <c r="H71" s="9">
        <v>-5400</v>
      </c>
      <c r="I71" s="1"/>
      <c r="J71" s="9"/>
      <c r="K71" s="9">
        <f>-500-247</f>
        <v>-747</v>
      </c>
      <c r="L71" s="9">
        <f t="shared" si="1"/>
        <v>65915</v>
      </c>
    </row>
    <row r="72" spans="1:12">
      <c r="A72" s="7"/>
      <c r="B72" s="3" t="s">
        <v>136</v>
      </c>
      <c r="C72" s="8" t="s">
        <v>137</v>
      </c>
      <c r="D72" s="9">
        <v>7835</v>
      </c>
      <c r="E72" s="9">
        <v>7811</v>
      </c>
      <c r="F72" s="1"/>
      <c r="G72" s="1"/>
      <c r="H72" s="9"/>
      <c r="I72" s="1"/>
      <c r="J72" s="9"/>
      <c r="K72" s="9"/>
      <c r="L72" s="9">
        <f t="shared" si="1"/>
        <v>7811</v>
      </c>
    </row>
    <row r="73" spans="1:12">
      <c r="A73" s="7"/>
      <c r="B73" s="3" t="s">
        <v>138</v>
      </c>
      <c r="C73" s="8" t="s">
        <v>353</v>
      </c>
      <c r="D73" s="9">
        <v>10845</v>
      </c>
      <c r="E73" s="9">
        <v>7940</v>
      </c>
      <c r="F73" s="1"/>
      <c r="G73" s="1"/>
      <c r="H73" s="9"/>
      <c r="I73" s="1"/>
      <c r="J73" s="9"/>
      <c r="K73" s="9">
        <v>-24</v>
      </c>
      <c r="L73" s="9">
        <f t="shared" si="1"/>
        <v>7916</v>
      </c>
    </row>
    <row r="74" spans="1:12">
      <c r="A74" s="7"/>
      <c r="B74" s="3" t="s">
        <v>139</v>
      </c>
      <c r="C74" s="8" t="s">
        <v>140</v>
      </c>
      <c r="D74" s="9">
        <v>3333</v>
      </c>
      <c r="E74" s="9">
        <v>3323</v>
      </c>
      <c r="F74" s="1"/>
      <c r="G74" s="1"/>
      <c r="H74" s="9"/>
      <c r="I74" s="1"/>
      <c r="J74" s="9"/>
      <c r="K74" s="9"/>
      <c r="L74" s="9">
        <f t="shared" si="1"/>
        <v>3323</v>
      </c>
    </row>
    <row r="75" spans="1:12">
      <c r="A75" s="7"/>
      <c r="B75" s="3" t="s">
        <v>141</v>
      </c>
      <c r="C75" s="8" t="s">
        <v>49</v>
      </c>
      <c r="D75" s="9">
        <v>4149</v>
      </c>
      <c r="E75" s="9">
        <v>4136</v>
      </c>
      <c r="F75" s="1"/>
      <c r="G75" s="1"/>
      <c r="H75" s="9"/>
      <c r="I75" s="1">
        <v>-10</v>
      </c>
      <c r="J75" s="9">
        <v>-500</v>
      </c>
      <c r="K75" s="9"/>
      <c r="L75" s="9">
        <f t="shared" si="1"/>
        <v>3626</v>
      </c>
    </row>
    <row r="76" spans="1:12">
      <c r="A76" s="7"/>
      <c r="B76" s="3" t="s">
        <v>142</v>
      </c>
      <c r="C76" s="8" t="s">
        <v>143</v>
      </c>
      <c r="D76" s="9">
        <v>36784</v>
      </c>
      <c r="E76" s="9">
        <v>35544</v>
      </c>
      <c r="F76" s="1"/>
      <c r="G76" s="1"/>
      <c r="H76" s="9"/>
      <c r="I76" s="1">
        <v>-88</v>
      </c>
      <c r="J76" s="9"/>
      <c r="K76" s="9"/>
      <c r="L76" s="9">
        <f t="shared" si="1"/>
        <v>35456</v>
      </c>
    </row>
    <row r="77" spans="1:12">
      <c r="A77" s="7"/>
      <c r="B77" s="3" t="s">
        <v>144</v>
      </c>
      <c r="C77" s="8" t="s">
        <v>335</v>
      </c>
      <c r="D77" s="9">
        <v>8719</v>
      </c>
      <c r="E77" s="9">
        <v>11085</v>
      </c>
      <c r="F77" s="1"/>
      <c r="G77" s="1"/>
      <c r="H77" s="9"/>
      <c r="I77" s="1"/>
      <c r="J77" s="9"/>
      <c r="K77" s="9">
        <v>80</v>
      </c>
      <c r="L77" s="9">
        <f t="shared" si="1"/>
        <v>11165</v>
      </c>
    </row>
    <row r="78" spans="1:12">
      <c r="A78" s="3" t="s">
        <v>34</v>
      </c>
      <c r="B78" s="2"/>
      <c r="C78" s="13" t="s">
        <v>145</v>
      </c>
      <c r="D78" s="7"/>
      <c r="E78" s="1" t="s">
        <v>146</v>
      </c>
      <c r="F78" s="1"/>
      <c r="G78" s="1"/>
      <c r="H78" s="9"/>
      <c r="I78" s="7"/>
      <c r="J78" s="20"/>
      <c r="K78" s="18"/>
      <c r="L78" s="1" t="s">
        <v>147</v>
      </c>
    </row>
    <row r="79" spans="1:12">
      <c r="A79" s="7"/>
      <c r="B79" s="3" t="s">
        <v>148</v>
      </c>
      <c r="C79" s="8" t="s">
        <v>383</v>
      </c>
      <c r="D79" s="9">
        <v>17868</v>
      </c>
      <c r="E79" s="9">
        <v>15122</v>
      </c>
      <c r="F79" s="1"/>
      <c r="G79" s="1"/>
      <c r="H79" s="9"/>
      <c r="I79" s="1"/>
      <c r="J79" s="9"/>
      <c r="K79" s="9">
        <f>-146-50-10</f>
        <v>-206</v>
      </c>
      <c r="L79" s="9">
        <f t="shared" ref="L79:L95" si="2">SUM(E79:K79)</f>
        <v>14916</v>
      </c>
    </row>
    <row r="80" spans="1:12">
      <c r="A80" s="7"/>
      <c r="B80" s="3" t="s">
        <v>149</v>
      </c>
      <c r="C80" s="8" t="s">
        <v>384</v>
      </c>
      <c r="D80" s="9">
        <v>7970</v>
      </c>
      <c r="E80" s="9">
        <v>7945</v>
      </c>
      <c r="F80" s="1"/>
      <c r="G80" s="1"/>
      <c r="H80" s="9"/>
      <c r="I80" s="1"/>
      <c r="J80" s="9"/>
      <c r="K80" s="9">
        <f>-79</f>
        <v>-79</v>
      </c>
      <c r="L80" s="9">
        <f t="shared" si="2"/>
        <v>7866</v>
      </c>
    </row>
    <row r="81" spans="1:12">
      <c r="A81" s="7"/>
      <c r="B81" s="3" t="s">
        <v>150</v>
      </c>
      <c r="C81" s="8" t="s">
        <v>372</v>
      </c>
      <c r="D81" s="9">
        <v>18878</v>
      </c>
      <c r="E81" s="9">
        <v>18823</v>
      </c>
      <c r="F81" s="1"/>
      <c r="G81" s="1"/>
      <c r="H81" s="9"/>
      <c r="I81" s="1"/>
      <c r="J81" s="9"/>
      <c r="K81" s="9">
        <v>917</v>
      </c>
      <c r="L81" s="9">
        <f t="shared" si="2"/>
        <v>19740</v>
      </c>
    </row>
    <row r="82" spans="1:12">
      <c r="A82" s="7"/>
      <c r="B82" s="3" t="s">
        <v>151</v>
      </c>
      <c r="C82" s="8" t="s">
        <v>152</v>
      </c>
      <c r="D82" s="9">
        <v>28988</v>
      </c>
      <c r="E82" s="9">
        <v>28899</v>
      </c>
      <c r="F82" s="1"/>
      <c r="G82" s="1"/>
      <c r="H82" s="9"/>
      <c r="I82" s="1"/>
      <c r="J82" s="9"/>
      <c r="K82" s="9"/>
      <c r="L82" s="9">
        <f t="shared" si="2"/>
        <v>28899</v>
      </c>
    </row>
    <row r="83" spans="1:12">
      <c r="A83" s="7"/>
      <c r="B83" s="3" t="s">
        <v>153</v>
      </c>
      <c r="C83" s="8" t="s">
        <v>385</v>
      </c>
      <c r="D83" s="9">
        <v>8203</v>
      </c>
      <c r="E83" s="9">
        <v>8178</v>
      </c>
      <c r="F83" s="1"/>
      <c r="G83" s="1"/>
      <c r="H83" s="9"/>
      <c r="I83" s="1"/>
      <c r="J83" s="9"/>
      <c r="K83" s="9">
        <f>-380-82-62-17</f>
        <v>-541</v>
      </c>
      <c r="L83" s="9">
        <f t="shared" si="2"/>
        <v>7637</v>
      </c>
    </row>
    <row r="84" spans="1:12">
      <c r="A84" s="7"/>
      <c r="B84" s="3" t="s">
        <v>154</v>
      </c>
      <c r="C84" s="8" t="s">
        <v>386</v>
      </c>
      <c r="D84" s="9">
        <v>10526</v>
      </c>
      <c r="E84" s="9">
        <v>10494</v>
      </c>
      <c r="F84" s="1"/>
      <c r="G84" s="1"/>
      <c r="H84" s="9"/>
      <c r="I84" s="1"/>
      <c r="J84" s="9"/>
      <c r="K84" s="9">
        <f>-725-277</f>
        <v>-1002</v>
      </c>
      <c r="L84" s="9">
        <f t="shared" si="2"/>
        <v>9492</v>
      </c>
    </row>
    <row r="85" spans="1:12">
      <c r="A85" s="7"/>
      <c r="B85" s="3" t="s">
        <v>155</v>
      </c>
      <c r="C85" s="8" t="s">
        <v>387</v>
      </c>
      <c r="D85" s="9">
        <v>38682</v>
      </c>
      <c r="E85" s="9">
        <v>37563</v>
      </c>
      <c r="F85" s="1"/>
      <c r="G85" s="1"/>
      <c r="H85" s="9"/>
      <c r="I85" s="1"/>
      <c r="J85" s="9"/>
      <c r="K85" s="9">
        <v>-3</v>
      </c>
      <c r="L85" s="9">
        <f t="shared" si="2"/>
        <v>37560</v>
      </c>
    </row>
    <row r="86" spans="1:12">
      <c r="A86" s="7"/>
      <c r="B86" s="3" t="s">
        <v>156</v>
      </c>
      <c r="C86" s="8" t="s">
        <v>375</v>
      </c>
      <c r="D86" s="9">
        <v>9102</v>
      </c>
      <c r="E86" s="9">
        <v>9074</v>
      </c>
      <c r="F86" s="1"/>
      <c r="G86" s="1"/>
      <c r="H86" s="9"/>
      <c r="I86" s="1"/>
      <c r="J86" s="9"/>
      <c r="K86" s="9">
        <v>-91</v>
      </c>
      <c r="L86" s="9">
        <f t="shared" si="2"/>
        <v>8983</v>
      </c>
    </row>
    <row r="87" spans="1:12">
      <c r="A87" s="7"/>
      <c r="B87" s="3" t="s">
        <v>157</v>
      </c>
      <c r="C87" s="8" t="s">
        <v>158</v>
      </c>
      <c r="D87" s="1">
        <v>793</v>
      </c>
      <c r="E87" s="1">
        <v>791</v>
      </c>
      <c r="F87" s="1"/>
      <c r="G87" s="1"/>
      <c r="H87" s="9"/>
      <c r="I87" s="1"/>
      <c r="J87" s="9"/>
      <c r="K87" s="9"/>
      <c r="L87" s="9">
        <f t="shared" si="2"/>
        <v>791</v>
      </c>
    </row>
    <row r="88" spans="1:12">
      <c r="A88" s="7"/>
      <c r="B88" s="3" t="s">
        <v>159</v>
      </c>
      <c r="C88" s="8" t="s">
        <v>354</v>
      </c>
      <c r="D88" s="9">
        <v>11820</v>
      </c>
      <c r="E88" s="9">
        <v>11784</v>
      </c>
      <c r="F88" s="1"/>
      <c r="G88" s="1"/>
      <c r="H88" s="9"/>
      <c r="I88" s="1"/>
      <c r="J88" s="9"/>
      <c r="K88" s="9">
        <v>-30</v>
      </c>
      <c r="L88" s="9">
        <f t="shared" si="2"/>
        <v>11754</v>
      </c>
    </row>
    <row r="89" spans="1:12">
      <c r="A89" s="7"/>
      <c r="B89" s="3" t="s">
        <v>160</v>
      </c>
      <c r="C89" s="8" t="s">
        <v>161</v>
      </c>
      <c r="D89" s="9">
        <v>27632</v>
      </c>
      <c r="E89" s="9">
        <v>27547</v>
      </c>
      <c r="F89" s="1"/>
      <c r="G89" s="1"/>
      <c r="H89" s="9"/>
      <c r="I89" s="1"/>
      <c r="J89" s="9">
        <v>-3700</v>
      </c>
      <c r="K89" s="9"/>
      <c r="L89" s="9">
        <f t="shared" si="2"/>
        <v>23847</v>
      </c>
    </row>
    <row r="90" spans="1:12">
      <c r="A90" s="7"/>
      <c r="B90" s="3" t="s">
        <v>162</v>
      </c>
      <c r="C90" s="8" t="s">
        <v>355</v>
      </c>
      <c r="D90" s="9">
        <v>1181</v>
      </c>
      <c r="E90" s="9">
        <v>1177</v>
      </c>
      <c r="F90" s="1"/>
      <c r="G90" s="1"/>
      <c r="H90" s="9"/>
      <c r="I90" s="1"/>
      <c r="J90" s="9"/>
      <c r="K90" s="9">
        <v>-3</v>
      </c>
      <c r="L90" s="9">
        <f t="shared" si="2"/>
        <v>1174</v>
      </c>
    </row>
    <row r="91" spans="1:12">
      <c r="A91" s="7"/>
      <c r="B91" s="3" t="s">
        <v>163</v>
      </c>
      <c r="C91" s="8" t="s">
        <v>319</v>
      </c>
      <c r="D91" s="9">
        <v>5990</v>
      </c>
      <c r="E91" s="9">
        <v>5972</v>
      </c>
      <c r="F91" s="1"/>
      <c r="G91" s="1"/>
      <c r="H91" s="9"/>
      <c r="I91" s="1"/>
      <c r="J91" s="9">
        <v>-1476</v>
      </c>
      <c r="K91" s="9">
        <v>-1000</v>
      </c>
      <c r="L91" s="9">
        <f t="shared" si="2"/>
        <v>3496</v>
      </c>
    </row>
    <row r="92" spans="1:12">
      <c r="A92" s="7"/>
      <c r="B92" s="3" t="s">
        <v>164</v>
      </c>
      <c r="C92" s="8" t="s">
        <v>165</v>
      </c>
      <c r="D92" s="9">
        <v>3737</v>
      </c>
      <c r="E92" s="9">
        <v>3725</v>
      </c>
      <c r="F92" s="1"/>
      <c r="G92" s="1"/>
      <c r="H92" s="9"/>
      <c r="I92" s="1"/>
      <c r="J92" s="9"/>
      <c r="K92" s="9"/>
      <c r="L92" s="9">
        <f t="shared" si="2"/>
        <v>3725</v>
      </c>
    </row>
    <row r="93" spans="1:12">
      <c r="A93" s="7"/>
      <c r="B93" s="3" t="s">
        <v>166</v>
      </c>
      <c r="C93" s="8" t="s">
        <v>167</v>
      </c>
      <c r="D93" s="9">
        <v>4423</v>
      </c>
      <c r="E93" s="9">
        <v>4409</v>
      </c>
      <c r="F93" s="1"/>
      <c r="G93" s="1"/>
      <c r="H93" s="9"/>
      <c r="I93" s="1"/>
      <c r="J93" s="9"/>
      <c r="K93" s="9"/>
      <c r="L93" s="9">
        <f t="shared" si="2"/>
        <v>4409</v>
      </c>
    </row>
    <row r="94" spans="1:12">
      <c r="A94" s="7"/>
      <c r="B94" s="3" t="s">
        <v>168</v>
      </c>
      <c r="C94" s="8" t="s">
        <v>169</v>
      </c>
      <c r="D94" s="9">
        <v>4778</v>
      </c>
      <c r="E94" s="9">
        <v>4763</v>
      </c>
      <c r="F94" s="1"/>
      <c r="G94" s="1"/>
      <c r="H94" s="9"/>
      <c r="I94" s="1"/>
      <c r="J94" s="9"/>
      <c r="K94" s="9"/>
      <c r="L94" s="9">
        <f t="shared" si="2"/>
        <v>4763</v>
      </c>
    </row>
    <row r="95" spans="1:12">
      <c r="A95" s="7"/>
      <c r="B95" s="3" t="s">
        <v>170</v>
      </c>
      <c r="C95" s="8" t="s">
        <v>314</v>
      </c>
      <c r="D95" s="9">
        <v>65760</v>
      </c>
      <c r="E95" s="9">
        <v>59921</v>
      </c>
      <c r="F95" s="1"/>
      <c r="G95" s="1"/>
      <c r="H95" s="9"/>
      <c r="I95" s="1">
        <v>-145</v>
      </c>
      <c r="J95" s="9"/>
      <c r="K95" s="9">
        <f>11600-1050</f>
        <v>10550</v>
      </c>
      <c r="L95" s="9">
        <f t="shared" si="2"/>
        <v>70326</v>
      </c>
    </row>
    <row r="96" spans="1:12">
      <c r="A96" s="3" t="s">
        <v>34</v>
      </c>
      <c r="B96" s="2"/>
      <c r="C96" s="8" t="s">
        <v>171</v>
      </c>
      <c r="D96" s="7"/>
      <c r="E96" s="1" t="s">
        <v>146</v>
      </c>
      <c r="F96" s="1"/>
      <c r="G96" s="1"/>
      <c r="H96" s="9"/>
      <c r="I96" s="7"/>
      <c r="J96" s="20" t="s">
        <v>37</v>
      </c>
      <c r="K96" s="18"/>
      <c r="L96" s="1" t="s">
        <v>147</v>
      </c>
    </row>
    <row r="97" spans="1:12">
      <c r="A97" s="7"/>
      <c r="B97" s="3" t="s">
        <v>172</v>
      </c>
      <c r="C97" s="8" t="s">
        <v>356</v>
      </c>
      <c r="D97" s="9">
        <v>312105</v>
      </c>
      <c r="E97" s="9">
        <v>282735</v>
      </c>
      <c r="F97" s="1"/>
      <c r="G97" s="1"/>
      <c r="H97" s="9"/>
      <c r="I97" s="1"/>
      <c r="J97" s="9">
        <v>-2000</v>
      </c>
      <c r="K97" s="9">
        <f>-2485-1213+1200+68+225-225-1697</f>
        <v>-4127</v>
      </c>
      <c r="L97" s="9">
        <f>SUM(E97:K97)</f>
        <v>276608</v>
      </c>
    </row>
    <row r="98" spans="1:12">
      <c r="A98" s="7"/>
      <c r="B98" s="3" t="s">
        <v>173</v>
      </c>
      <c r="C98" s="8" t="s">
        <v>357</v>
      </c>
      <c r="D98" s="9">
        <v>4913</v>
      </c>
      <c r="E98" s="9">
        <v>4898</v>
      </c>
      <c r="F98" s="1"/>
      <c r="G98" s="1"/>
      <c r="H98" s="9"/>
      <c r="I98" s="1"/>
      <c r="J98" s="9"/>
      <c r="K98" s="9">
        <v>-12</v>
      </c>
      <c r="L98" s="9">
        <f>SUM(E98:K98)</f>
        <v>4886</v>
      </c>
    </row>
    <row r="99" spans="1:12">
      <c r="A99" s="7"/>
      <c r="B99" s="3" t="s">
        <v>174</v>
      </c>
      <c r="C99" s="8" t="s">
        <v>336</v>
      </c>
      <c r="D99" s="9">
        <v>25314</v>
      </c>
      <c r="E99" s="9">
        <v>25974</v>
      </c>
      <c r="F99" s="1"/>
      <c r="G99" s="1"/>
      <c r="H99" s="9"/>
      <c r="I99" s="1"/>
      <c r="J99" s="9">
        <f>-1994-1500</f>
        <v>-3494</v>
      </c>
      <c r="K99" s="9">
        <f>675-3109-58</f>
        <v>-2492</v>
      </c>
      <c r="L99" s="9">
        <f>SUM(E99:K99)</f>
        <v>19988</v>
      </c>
    </row>
    <row r="100" spans="1:12">
      <c r="A100" s="3" t="s">
        <v>34</v>
      </c>
      <c r="B100" s="2"/>
      <c r="C100" s="13" t="s">
        <v>175</v>
      </c>
      <c r="D100" s="7"/>
      <c r="E100" s="1" t="s">
        <v>77</v>
      </c>
      <c r="F100" s="1"/>
      <c r="G100" s="1"/>
      <c r="H100" s="9"/>
      <c r="I100" s="7"/>
      <c r="J100" s="1" t="s">
        <v>330</v>
      </c>
      <c r="K100" s="18"/>
      <c r="L100" s="1" t="s">
        <v>329</v>
      </c>
    </row>
    <row r="101" spans="1:12">
      <c r="A101" s="7"/>
      <c r="B101" s="3" t="s">
        <v>176</v>
      </c>
      <c r="C101" s="8" t="s">
        <v>177</v>
      </c>
      <c r="D101" s="1">
        <v>105</v>
      </c>
      <c r="E101" s="1">
        <v>105</v>
      </c>
      <c r="F101" s="1"/>
      <c r="G101" s="1"/>
      <c r="H101" s="9"/>
      <c r="I101" s="1"/>
      <c r="J101" s="9"/>
      <c r="K101" s="9"/>
      <c r="L101" s="9">
        <f t="shared" ref="L101:L111" si="3">SUM(E101:K101)</f>
        <v>105</v>
      </c>
    </row>
    <row r="102" spans="1:12">
      <c r="A102" s="7"/>
      <c r="B102" s="3" t="s">
        <v>178</v>
      </c>
      <c r="C102" s="8" t="s">
        <v>358</v>
      </c>
      <c r="D102" s="9">
        <v>48729</v>
      </c>
      <c r="E102" s="9">
        <v>48579</v>
      </c>
      <c r="F102" s="1"/>
      <c r="G102" s="1"/>
      <c r="H102" s="9"/>
      <c r="I102" s="1">
        <v>-1</v>
      </c>
      <c r="J102" s="9"/>
      <c r="K102" s="9">
        <f>739+1</f>
        <v>740</v>
      </c>
      <c r="L102" s="9">
        <f t="shared" si="3"/>
        <v>49318</v>
      </c>
    </row>
    <row r="103" spans="1:12">
      <c r="A103" s="7"/>
      <c r="B103" s="3" t="s">
        <v>179</v>
      </c>
      <c r="C103" s="8" t="s">
        <v>337</v>
      </c>
      <c r="D103" s="9">
        <v>50172</v>
      </c>
      <c r="E103" s="9">
        <v>48422</v>
      </c>
      <c r="F103" s="1"/>
      <c r="G103" s="1"/>
      <c r="H103" s="9"/>
      <c r="I103" s="1"/>
      <c r="J103" s="9"/>
      <c r="K103" s="9">
        <f>-1020-2500</f>
        <v>-3520</v>
      </c>
      <c r="L103" s="9">
        <f t="shared" si="3"/>
        <v>44902</v>
      </c>
    </row>
    <row r="104" spans="1:12">
      <c r="A104" s="7"/>
      <c r="B104" s="3" t="s">
        <v>180</v>
      </c>
      <c r="C104" s="8" t="s">
        <v>338</v>
      </c>
      <c r="D104" s="9">
        <v>72496</v>
      </c>
      <c r="E104" s="9">
        <v>63001</v>
      </c>
      <c r="F104" s="1"/>
      <c r="G104" s="1"/>
      <c r="H104" s="9"/>
      <c r="I104" s="9">
        <v>-2</v>
      </c>
      <c r="J104" s="9"/>
      <c r="K104" s="9">
        <v>-1386</v>
      </c>
      <c r="L104" s="9">
        <f t="shared" si="3"/>
        <v>61613</v>
      </c>
    </row>
    <row r="105" spans="1:12">
      <c r="A105" s="7"/>
      <c r="B105" s="3" t="s">
        <v>181</v>
      </c>
      <c r="C105" s="8" t="s">
        <v>359</v>
      </c>
      <c r="D105" s="9">
        <v>2322</v>
      </c>
      <c r="E105" s="9">
        <v>2315</v>
      </c>
      <c r="F105" s="1"/>
      <c r="G105" s="1"/>
      <c r="H105" s="9"/>
      <c r="I105" s="1"/>
      <c r="J105" s="9"/>
      <c r="K105" s="9">
        <v>-5</v>
      </c>
      <c r="L105" s="9">
        <f t="shared" si="3"/>
        <v>2310</v>
      </c>
    </row>
    <row r="106" spans="1:12">
      <c r="A106" s="7"/>
      <c r="B106" s="3" t="s">
        <v>182</v>
      </c>
      <c r="C106" s="8" t="s">
        <v>183</v>
      </c>
      <c r="D106" s="9">
        <v>1293</v>
      </c>
      <c r="E106" s="9">
        <v>1289</v>
      </c>
      <c r="F106" s="1"/>
      <c r="G106" s="1"/>
      <c r="H106" s="9"/>
      <c r="I106" s="1"/>
      <c r="J106" s="9"/>
      <c r="K106" s="9"/>
      <c r="L106" s="9">
        <f t="shared" si="3"/>
        <v>1289</v>
      </c>
    </row>
    <row r="107" spans="1:12">
      <c r="A107" s="7"/>
      <c r="B107" s="3" t="s">
        <v>184</v>
      </c>
      <c r="C107" s="8" t="s">
        <v>376</v>
      </c>
      <c r="D107" s="9">
        <v>2542</v>
      </c>
      <c r="E107" s="9">
        <v>2534</v>
      </c>
      <c r="F107" s="1"/>
      <c r="G107" s="1"/>
      <c r="H107" s="9"/>
      <c r="I107" s="1"/>
      <c r="J107" s="9"/>
      <c r="K107" s="9">
        <f>-6+225</f>
        <v>219</v>
      </c>
      <c r="L107" s="9">
        <f t="shared" si="3"/>
        <v>2753</v>
      </c>
    </row>
    <row r="108" spans="1:12">
      <c r="A108" s="7"/>
      <c r="B108" s="3" t="s">
        <v>185</v>
      </c>
      <c r="C108" s="8" t="s">
        <v>374</v>
      </c>
      <c r="D108" s="9">
        <v>119054</v>
      </c>
      <c r="E108" s="9">
        <v>110213</v>
      </c>
      <c r="F108" s="1"/>
      <c r="G108" s="1"/>
      <c r="H108" s="9"/>
      <c r="I108" s="1">
        <v>-3</v>
      </c>
      <c r="J108" s="9"/>
      <c r="K108" s="9">
        <f>-2000+722+82-225</f>
        <v>-1421</v>
      </c>
      <c r="L108" s="9">
        <f t="shared" si="3"/>
        <v>108789</v>
      </c>
    </row>
    <row r="109" spans="1:12">
      <c r="A109" s="7"/>
      <c r="B109" s="3" t="s">
        <v>186</v>
      </c>
      <c r="C109" s="8" t="s">
        <v>339</v>
      </c>
      <c r="D109" s="9">
        <v>16839</v>
      </c>
      <c r="E109" s="9">
        <v>16787</v>
      </c>
      <c r="F109" s="1"/>
      <c r="G109" s="1"/>
      <c r="H109" s="9"/>
      <c r="I109" s="1"/>
      <c r="J109" s="9"/>
      <c r="K109" s="9">
        <v>-306</v>
      </c>
      <c r="L109" s="9">
        <f t="shared" si="3"/>
        <v>16481</v>
      </c>
    </row>
    <row r="110" spans="1:12">
      <c r="A110" s="7"/>
      <c r="B110" s="3" t="s">
        <v>187</v>
      </c>
      <c r="C110" s="8" t="s">
        <v>320</v>
      </c>
      <c r="D110" s="9">
        <v>18892</v>
      </c>
      <c r="E110" s="9">
        <v>18834</v>
      </c>
      <c r="F110" s="1"/>
      <c r="G110" s="1"/>
      <c r="H110" s="9"/>
      <c r="I110" s="1">
        <v>-47</v>
      </c>
      <c r="J110" s="9"/>
      <c r="K110" s="9">
        <v>-1800</v>
      </c>
      <c r="L110" s="9">
        <f t="shared" si="3"/>
        <v>16987</v>
      </c>
    </row>
    <row r="111" spans="1:12">
      <c r="A111" s="7"/>
      <c r="B111" s="3" t="s">
        <v>188</v>
      </c>
      <c r="C111" s="8" t="s">
        <v>189</v>
      </c>
      <c r="D111" s="1">
        <v>0</v>
      </c>
      <c r="E111" s="1">
        <v>0</v>
      </c>
      <c r="F111" s="1"/>
      <c r="G111" s="1"/>
      <c r="H111" s="9"/>
      <c r="I111" s="1"/>
      <c r="J111" s="9">
        <f>3050+87018+57350</f>
        <v>147418</v>
      </c>
      <c r="K111" s="9"/>
      <c r="L111" s="9">
        <f t="shared" si="3"/>
        <v>147418</v>
      </c>
    </row>
    <row r="112" spans="1:12">
      <c r="A112" s="7"/>
      <c r="B112" s="7"/>
      <c r="C112" s="14" t="s">
        <v>190</v>
      </c>
      <c r="D112" s="11">
        <f>SUM(D47:D111)</f>
        <v>2037213</v>
      </c>
      <c r="E112" s="11">
        <f>SUM(E47:E111)</f>
        <v>1888690</v>
      </c>
      <c r="F112" s="12"/>
      <c r="G112" s="12"/>
      <c r="H112" s="11">
        <f>SUM(H47:H111)</f>
        <v>-5400</v>
      </c>
      <c r="I112" s="11">
        <f>SUM(I47:I111)</f>
        <v>-1743</v>
      </c>
      <c r="J112" s="11">
        <f>SUM(J47:J111)</f>
        <v>119492</v>
      </c>
      <c r="K112" s="11">
        <f>SUM(K47:K111)</f>
        <v>-25995</v>
      </c>
      <c r="L112" s="11">
        <f>SUM(L47:L111)</f>
        <v>1975044</v>
      </c>
    </row>
    <row r="113" spans="1:12">
      <c r="A113" s="7"/>
      <c r="B113" s="3" t="s">
        <v>191</v>
      </c>
      <c r="C113" s="22" t="s">
        <v>365</v>
      </c>
      <c r="D113" s="9">
        <v>91976</v>
      </c>
      <c r="E113" s="9">
        <v>89698</v>
      </c>
      <c r="F113" s="1"/>
      <c r="G113" s="1"/>
      <c r="H113" s="9"/>
      <c r="I113" s="1"/>
      <c r="J113" s="9"/>
      <c r="K113" s="9">
        <f>-896+810</f>
        <v>-86</v>
      </c>
      <c r="L113" s="9">
        <f>SUM(E113:K113)</f>
        <v>89612</v>
      </c>
    </row>
    <row r="114" spans="1:12">
      <c r="A114" s="7"/>
      <c r="B114" s="3" t="s">
        <v>192</v>
      </c>
      <c r="C114" s="22" t="s">
        <v>366</v>
      </c>
      <c r="D114" s="9">
        <v>75329</v>
      </c>
      <c r="E114" s="9">
        <v>88655</v>
      </c>
      <c r="F114" s="1"/>
      <c r="G114" s="1"/>
      <c r="H114" s="9"/>
      <c r="I114" s="1"/>
      <c r="J114" s="9">
        <v>-11500</v>
      </c>
      <c r="K114" s="9">
        <f>-720-1446</f>
        <v>-2166</v>
      </c>
      <c r="L114" s="9">
        <f>SUM(E114:K114)</f>
        <v>74989</v>
      </c>
    </row>
    <row r="115" spans="1:12">
      <c r="A115" s="3" t="s">
        <v>34</v>
      </c>
      <c r="B115" s="2"/>
      <c r="C115" s="8" t="s">
        <v>193</v>
      </c>
      <c r="D115" s="7"/>
      <c r="E115" s="1" t="s">
        <v>194</v>
      </c>
      <c r="F115" s="1"/>
      <c r="G115" s="1"/>
      <c r="H115" s="9"/>
      <c r="I115" s="7"/>
      <c r="J115" s="1" t="s">
        <v>345</v>
      </c>
      <c r="K115" s="18"/>
      <c r="L115" s="21" t="s">
        <v>346</v>
      </c>
    </row>
    <row r="116" spans="1:12">
      <c r="A116" s="3" t="s">
        <v>34</v>
      </c>
      <c r="B116" s="2"/>
      <c r="C116" s="8" t="s">
        <v>195</v>
      </c>
      <c r="D116" s="7"/>
      <c r="E116" s="1" t="s">
        <v>57</v>
      </c>
      <c r="F116" s="1"/>
      <c r="G116" s="1"/>
      <c r="H116" s="9"/>
      <c r="I116" s="7"/>
      <c r="J116" s="20"/>
      <c r="K116" s="18"/>
      <c r="L116" s="1" t="s">
        <v>58</v>
      </c>
    </row>
    <row r="117" spans="1:12">
      <c r="A117" s="7"/>
      <c r="B117" s="3" t="s">
        <v>196</v>
      </c>
      <c r="C117" s="8" t="s">
        <v>377</v>
      </c>
      <c r="D117" s="9">
        <v>45688</v>
      </c>
      <c r="E117" s="9">
        <v>45662</v>
      </c>
      <c r="F117" s="1"/>
      <c r="G117" s="1"/>
      <c r="H117" s="9"/>
      <c r="I117" s="1"/>
      <c r="J117" s="9"/>
      <c r="K117" s="9">
        <v>-83</v>
      </c>
      <c r="L117" s="9">
        <f t="shared" ref="L117:L122" si="4">SUM(E117:K117)</f>
        <v>45579</v>
      </c>
    </row>
    <row r="118" spans="1:12">
      <c r="A118" s="7"/>
      <c r="B118" s="3" t="s">
        <v>197</v>
      </c>
      <c r="C118" s="8" t="s">
        <v>388</v>
      </c>
      <c r="D118" s="9">
        <v>12850</v>
      </c>
      <c r="E118" s="9">
        <v>12810</v>
      </c>
      <c r="F118" s="1"/>
      <c r="G118" s="1"/>
      <c r="H118" s="9"/>
      <c r="I118" s="1">
        <v>-232</v>
      </c>
      <c r="J118" s="9"/>
      <c r="K118" s="9">
        <f>-128+87-14-1+307</f>
        <v>251</v>
      </c>
      <c r="L118" s="9">
        <f t="shared" si="4"/>
        <v>12829</v>
      </c>
    </row>
    <row r="119" spans="1:12">
      <c r="A119" s="7"/>
      <c r="B119" s="3" t="s">
        <v>198</v>
      </c>
      <c r="C119" s="22" t="s">
        <v>367</v>
      </c>
      <c r="D119" s="9">
        <v>48670</v>
      </c>
      <c r="E119" s="9">
        <v>39683</v>
      </c>
      <c r="F119" s="1"/>
      <c r="G119" s="1"/>
      <c r="H119" s="9">
        <v>-3642</v>
      </c>
      <c r="I119" s="1"/>
      <c r="J119" s="9"/>
      <c r="K119" s="9">
        <v>-397</v>
      </c>
      <c r="L119" s="9">
        <f t="shared" si="4"/>
        <v>35644</v>
      </c>
    </row>
    <row r="120" spans="1:12">
      <c r="A120" s="7"/>
      <c r="B120" s="3" t="s">
        <v>199</v>
      </c>
      <c r="C120" s="8" t="s">
        <v>389</v>
      </c>
      <c r="D120" s="9">
        <v>21458</v>
      </c>
      <c r="E120" s="9">
        <v>14513</v>
      </c>
      <c r="F120" s="1"/>
      <c r="G120" s="1"/>
      <c r="H120" s="9"/>
      <c r="I120" s="1"/>
      <c r="J120" s="9"/>
      <c r="K120" s="9">
        <f>-413-54+636</f>
        <v>169</v>
      </c>
      <c r="L120" s="9">
        <f t="shared" si="4"/>
        <v>14682</v>
      </c>
    </row>
    <row r="121" spans="1:12">
      <c r="A121" s="7"/>
      <c r="B121" s="3" t="s">
        <v>200</v>
      </c>
      <c r="C121" s="8" t="s">
        <v>201</v>
      </c>
      <c r="D121" s="9">
        <v>1582</v>
      </c>
      <c r="E121" s="9">
        <v>1577</v>
      </c>
      <c r="F121" s="1"/>
      <c r="G121" s="1"/>
      <c r="H121" s="9"/>
      <c r="I121" s="1"/>
      <c r="J121" s="9"/>
      <c r="K121" s="9"/>
      <c r="L121" s="9">
        <f t="shared" si="4"/>
        <v>1577</v>
      </c>
    </row>
    <row r="122" spans="1:12">
      <c r="A122" s="7"/>
      <c r="B122" s="3" t="s">
        <v>202</v>
      </c>
      <c r="C122" s="8" t="s">
        <v>369</v>
      </c>
      <c r="D122" s="9">
        <v>45250</v>
      </c>
      <c r="E122" s="9">
        <v>48156</v>
      </c>
      <c r="F122" s="1"/>
      <c r="G122" s="1"/>
      <c r="H122" s="9"/>
      <c r="I122" s="1">
        <v>-2</v>
      </c>
      <c r="J122" s="9"/>
      <c r="K122" s="9">
        <f>-41+2778-87</f>
        <v>2650</v>
      </c>
      <c r="L122" s="9">
        <f t="shared" si="4"/>
        <v>50804</v>
      </c>
    </row>
    <row r="123" spans="1:12">
      <c r="A123" s="3" t="s">
        <v>34</v>
      </c>
      <c r="B123" s="2"/>
      <c r="C123" s="8" t="s">
        <v>203</v>
      </c>
      <c r="D123" s="7"/>
      <c r="E123" s="1" t="s">
        <v>204</v>
      </c>
      <c r="F123" s="1"/>
      <c r="G123" s="1"/>
      <c r="H123" s="9"/>
      <c r="I123" s="7"/>
      <c r="J123" s="20"/>
      <c r="K123" s="18"/>
      <c r="L123" s="1" t="s">
        <v>205</v>
      </c>
    </row>
    <row r="124" spans="1:12">
      <c r="A124" s="3" t="s">
        <v>34</v>
      </c>
      <c r="B124" s="2"/>
      <c r="C124" s="8" t="s">
        <v>206</v>
      </c>
      <c r="D124" s="7"/>
      <c r="E124" s="1" t="s">
        <v>57</v>
      </c>
      <c r="F124" s="1"/>
      <c r="G124" s="1"/>
      <c r="H124" s="9"/>
      <c r="I124" s="7"/>
      <c r="J124" s="20"/>
      <c r="K124" s="18"/>
      <c r="L124" s="1" t="s">
        <v>58</v>
      </c>
    </row>
    <row r="125" spans="1:12">
      <c r="A125" s="7"/>
      <c r="B125" s="3" t="s">
        <v>207</v>
      </c>
      <c r="C125" s="8" t="s">
        <v>208</v>
      </c>
      <c r="D125" s="9">
        <v>55408</v>
      </c>
      <c r="E125" s="9">
        <v>51249</v>
      </c>
      <c r="F125" s="1"/>
      <c r="G125" s="1"/>
      <c r="H125" s="9"/>
      <c r="I125" s="1"/>
      <c r="J125" s="9"/>
      <c r="K125" s="9"/>
      <c r="L125" s="9">
        <f>SUM(E125:K125)</f>
        <v>51249</v>
      </c>
    </row>
    <row r="126" spans="1:12">
      <c r="A126" s="7"/>
      <c r="B126" s="3" t="s">
        <v>209</v>
      </c>
      <c r="C126" s="8" t="s">
        <v>210</v>
      </c>
      <c r="D126" s="9">
        <v>23694</v>
      </c>
      <c r="E126" s="9">
        <v>23621</v>
      </c>
      <c r="F126" s="1"/>
      <c r="G126" s="1"/>
      <c r="H126" s="9"/>
      <c r="I126" s="1"/>
      <c r="J126" s="9"/>
      <c r="K126" s="9"/>
      <c r="L126" s="9">
        <f>SUM(E126:K126)</f>
        <v>23621</v>
      </c>
    </row>
    <row r="127" spans="1:12">
      <c r="A127" s="7"/>
      <c r="B127" s="3" t="s">
        <v>211</v>
      </c>
      <c r="C127" s="8" t="s">
        <v>378</v>
      </c>
      <c r="D127" s="9">
        <v>9710</v>
      </c>
      <c r="E127" s="9">
        <v>4895</v>
      </c>
      <c r="F127" s="1"/>
      <c r="G127" s="1"/>
      <c r="H127" s="9"/>
      <c r="I127" s="1"/>
      <c r="J127" s="9"/>
      <c r="K127" s="9">
        <v>14</v>
      </c>
      <c r="L127" s="9">
        <f>SUM(E127:K127)</f>
        <v>4909</v>
      </c>
    </row>
    <row r="128" spans="1:12">
      <c r="A128" s="7"/>
      <c r="B128" s="3" t="s">
        <v>212</v>
      </c>
      <c r="C128" s="8" t="s">
        <v>379</v>
      </c>
      <c r="D128" s="9">
        <v>16541</v>
      </c>
      <c r="E128" s="9">
        <v>13499</v>
      </c>
      <c r="F128" s="1"/>
      <c r="G128" s="1"/>
      <c r="H128" s="9"/>
      <c r="I128" s="1"/>
      <c r="J128" s="9"/>
      <c r="K128" s="9">
        <v>-135</v>
      </c>
      <c r="L128" s="9">
        <f>SUM(E128:K128)</f>
        <v>13364</v>
      </c>
    </row>
    <row r="129" spans="1:12">
      <c r="A129" s="7"/>
      <c r="B129" s="7"/>
      <c r="C129" s="10" t="s">
        <v>213</v>
      </c>
      <c r="D129" s="11">
        <f>SUM(D113:D128)</f>
        <v>448156</v>
      </c>
      <c r="E129" s="11">
        <f>SUM(E113:E128)</f>
        <v>434018</v>
      </c>
      <c r="F129" s="12"/>
      <c r="G129" s="12"/>
      <c r="H129" s="11">
        <f>SUM(H113:H128)</f>
        <v>-3642</v>
      </c>
      <c r="I129" s="11">
        <f>SUM(I113:I128)</f>
        <v>-234</v>
      </c>
      <c r="J129" s="11">
        <f>SUM(J113:J128)</f>
        <v>-11500</v>
      </c>
      <c r="K129" s="11">
        <f>SUM(K113:K128)</f>
        <v>217</v>
      </c>
      <c r="L129" s="11">
        <f>SUM(L113:L128)</f>
        <v>418859</v>
      </c>
    </row>
    <row r="130" spans="1:12">
      <c r="A130" s="7"/>
      <c r="B130" s="3" t="s">
        <v>214</v>
      </c>
      <c r="C130" s="8" t="s">
        <v>215</v>
      </c>
      <c r="D130" s="9">
        <v>1391</v>
      </c>
      <c r="E130" s="9">
        <v>1387</v>
      </c>
      <c r="F130" s="1"/>
      <c r="G130" s="1"/>
      <c r="H130" s="9"/>
      <c r="I130" s="1">
        <v>-3</v>
      </c>
      <c r="J130" s="9"/>
      <c r="K130" s="9"/>
      <c r="L130" s="9">
        <f>SUM(E130:K130)</f>
        <v>1384</v>
      </c>
    </row>
    <row r="131" spans="1:12">
      <c r="A131" s="7"/>
      <c r="B131" s="3" t="s">
        <v>216</v>
      </c>
      <c r="C131" s="8" t="s">
        <v>217</v>
      </c>
      <c r="D131" s="9">
        <v>7891</v>
      </c>
      <c r="E131" s="9">
        <v>7867</v>
      </c>
      <c r="F131" s="1"/>
      <c r="G131" s="1"/>
      <c r="H131" s="9"/>
      <c r="I131" s="1">
        <v>-20</v>
      </c>
      <c r="J131" s="9"/>
      <c r="K131" s="9"/>
      <c r="L131" s="9">
        <f>SUM(E131:K131)</f>
        <v>7847</v>
      </c>
    </row>
    <row r="132" spans="1:12">
      <c r="A132" s="7"/>
      <c r="B132" s="3" t="s">
        <v>218</v>
      </c>
      <c r="C132" s="8" t="s">
        <v>219</v>
      </c>
      <c r="D132" s="9">
        <v>13556</v>
      </c>
      <c r="E132" s="9">
        <v>13514</v>
      </c>
      <c r="F132" s="1"/>
      <c r="G132" s="1"/>
      <c r="H132" s="9"/>
      <c r="I132" s="1"/>
      <c r="J132" s="9"/>
      <c r="K132" s="9"/>
      <c r="L132" s="9">
        <f>SUM(E132:K132)</f>
        <v>13514</v>
      </c>
    </row>
    <row r="133" spans="1:12">
      <c r="A133" s="7"/>
      <c r="B133" s="3" t="s">
        <v>220</v>
      </c>
      <c r="C133" s="8" t="s">
        <v>321</v>
      </c>
      <c r="D133" s="9">
        <v>7762</v>
      </c>
      <c r="E133" s="9">
        <v>8735</v>
      </c>
      <c r="F133" s="1"/>
      <c r="G133" s="1"/>
      <c r="H133" s="9"/>
      <c r="I133" s="1"/>
      <c r="J133" s="9"/>
      <c r="K133" s="9">
        <f>-1200+1050</f>
        <v>-150</v>
      </c>
      <c r="L133" s="9">
        <f>SUM(E133:K133)</f>
        <v>8585</v>
      </c>
    </row>
    <row r="134" spans="1:12">
      <c r="A134" s="3" t="s">
        <v>34</v>
      </c>
      <c r="B134" s="2"/>
      <c r="C134" s="8" t="s">
        <v>221</v>
      </c>
      <c r="D134" s="7"/>
      <c r="E134" s="1" t="s">
        <v>222</v>
      </c>
      <c r="F134" s="1"/>
      <c r="G134" s="1"/>
      <c r="H134" s="9"/>
      <c r="I134" s="7"/>
      <c r="J134" s="20"/>
      <c r="K134" s="18"/>
      <c r="L134" s="1" t="s">
        <v>223</v>
      </c>
    </row>
    <row r="135" spans="1:12">
      <c r="A135" s="7"/>
      <c r="B135" s="3" t="s">
        <v>224</v>
      </c>
      <c r="C135" s="8" t="s">
        <v>225</v>
      </c>
      <c r="D135" s="9">
        <v>34079</v>
      </c>
      <c r="E135" s="9">
        <v>33974</v>
      </c>
      <c r="F135" s="1"/>
      <c r="G135" s="1"/>
      <c r="H135" s="9"/>
      <c r="I135" s="1">
        <f>-80-6</f>
        <v>-86</v>
      </c>
      <c r="J135" s="9"/>
      <c r="K135" s="9"/>
      <c r="L135" s="9">
        <f>SUM(E135:K135)</f>
        <v>33888</v>
      </c>
    </row>
    <row r="136" spans="1:12">
      <c r="A136" s="7"/>
      <c r="B136" s="3" t="s">
        <v>226</v>
      </c>
      <c r="C136" s="8" t="s">
        <v>340</v>
      </c>
      <c r="D136" s="9">
        <v>108886</v>
      </c>
      <c r="E136" s="9">
        <v>101419</v>
      </c>
      <c r="F136" s="1"/>
      <c r="G136" s="1"/>
      <c r="H136" s="9"/>
      <c r="I136" s="1">
        <v>-253</v>
      </c>
      <c r="J136" s="9"/>
      <c r="K136" s="9">
        <v>-2300</v>
      </c>
      <c r="L136" s="9">
        <f>SUM(E136:K136)</f>
        <v>98866</v>
      </c>
    </row>
    <row r="137" spans="1:12">
      <c r="A137" s="3" t="s">
        <v>34</v>
      </c>
      <c r="B137" s="2"/>
      <c r="C137" s="8" t="s">
        <v>227</v>
      </c>
      <c r="D137" s="7"/>
      <c r="E137" s="1" t="s">
        <v>222</v>
      </c>
      <c r="F137" s="1"/>
      <c r="G137" s="1"/>
      <c r="H137" s="9"/>
      <c r="I137" s="7"/>
      <c r="J137" s="20"/>
      <c r="K137" s="18"/>
      <c r="L137" s="1" t="s">
        <v>223</v>
      </c>
    </row>
    <row r="138" spans="1:12">
      <c r="A138" s="7"/>
      <c r="B138" s="3" t="s">
        <v>228</v>
      </c>
      <c r="C138" s="8" t="s">
        <v>229</v>
      </c>
      <c r="D138" s="9">
        <v>88475</v>
      </c>
      <c r="E138" s="9">
        <v>88202</v>
      </c>
      <c r="F138" s="1"/>
      <c r="G138" s="1"/>
      <c r="H138" s="9"/>
      <c r="I138" s="1"/>
      <c r="J138" s="9"/>
      <c r="K138" s="9">
        <f>-925-409-1</f>
        <v>-1335</v>
      </c>
      <c r="L138" s="9">
        <f t="shared" ref="L138:L149" si="5">SUM(E138:K138)</f>
        <v>86867</v>
      </c>
    </row>
    <row r="139" spans="1:12">
      <c r="A139" s="7"/>
      <c r="B139" s="3" t="s">
        <v>230</v>
      </c>
      <c r="C139" s="8" t="s">
        <v>231</v>
      </c>
      <c r="D139" s="9">
        <v>5513</v>
      </c>
      <c r="E139" s="9">
        <v>5496</v>
      </c>
      <c r="F139" s="1"/>
      <c r="G139" s="1"/>
      <c r="H139" s="9"/>
      <c r="I139" s="1"/>
      <c r="J139" s="9">
        <v>-2100</v>
      </c>
      <c r="K139" s="9"/>
      <c r="L139" s="9">
        <f t="shared" si="5"/>
        <v>3396</v>
      </c>
    </row>
    <row r="140" spans="1:12">
      <c r="A140" s="7"/>
      <c r="B140" s="3" t="s">
        <v>232</v>
      </c>
      <c r="C140" s="8" t="s">
        <v>348</v>
      </c>
      <c r="D140" s="9">
        <v>155579</v>
      </c>
      <c r="E140" s="9">
        <v>155099</v>
      </c>
      <c r="F140" s="1"/>
      <c r="G140" s="1"/>
      <c r="H140" s="9"/>
      <c r="I140" s="1">
        <f>-65-90</f>
        <v>-155</v>
      </c>
      <c r="J140" s="9"/>
      <c r="K140" s="9">
        <v>-285</v>
      </c>
      <c r="L140" s="9">
        <f t="shared" si="5"/>
        <v>154659</v>
      </c>
    </row>
    <row r="141" spans="1:12">
      <c r="A141" s="7"/>
      <c r="B141" s="3" t="s">
        <v>233</v>
      </c>
      <c r="C141" s="8" t="s">
        <v>322</v>
      </c>
      <c r="D141" s="9">
        <v>118528</v>
      </c>
      <c r="E141" s="9">
        <v>113213</v>
      </c>
      <c r="F141" s="1"/>
      <c r="G141" s="1"/>
      <c r="H141" s="9"/>
      <c r="I141" s="1">
        <v>-176</v>
      </c>
      <c r="J141" s="9"/>
      <c r="K141" s="9">
        <f>338-120</f>
        <v>218</v>
      </c>
      <c r="L141" s="9">
        <f t="shared" si="5"/>
        <v>113255</v>
      </c>
    </row>
    <row r="142" spans="1:12">
      <c r="A142" s="7"/>
      <c r="B142" s="3" t="s">
        <v>234</v>
      </c>
      <c r="C142" s="8" t="s">
        <v>235</v>
      </c>
      <c r="D142" s="9">
        <v>5200</v>
      </c>
      <c r="E142" s="9">
        <v>5184</v>
      </c>
      <c r="F142" s="1"/>
      <c r="G142" s="1"/>
      <c r="H142" s="9"/>
      <c r="I142" s="1">
        <v>-13</v>
      </c>
      <c r="J142" s="9"/>
      <c r="K142" s="9"/>
      <c r="L142" s="9">
        <f t="shared" si="5"/>
        <v>5171</v>
      </c>
    </row>
    <row r="143" spans="1:12">
      <c r="A143" s="7"/>
      <c r="B143" s="3" t="s">
        <v>236</v>
      </c>
      <c r="C143" s="8" t="s">
        <v>237</v>
      </c>
      <c r="D143" s="9">
        <v>13646</v>
      </c>
      <c r="E143" s="9">
        <v>13604</v>
      </c>
      <c r="F143" s="1"/>
      <c r="G143" s="1"/>
      <c r="H143" s="9"/>
      <c r="I143" s="1"/>
      <c r="J143" s="9"/>
      <c r="K143" s="9"/>
      <c r="L143" s="9">
        <f t="shared" si="5"/>
        <v>13604</v>
      </c>
    </row>
    <row r="144" spans="1:12">
      <c r="A144" s="7"/>
      <c r="B144" s="3" t="s">
        <v>238</v>
      </c>
      <c r="C144" s="8" t="s">
        <v>380</v>
      </c>
      <c r="D144" s="9">
        <v>7256</v>
      </c>
      <c r="E144" s="9">
        <v>7234</v>
      </c>
      <c r="F144" s="1"/>
      <c r="G144" s="1"/>
      <c r="H144" s="9"/>
      <c r="I144" s="1"/>
      <c r="J144" s="9"/>
      <c r="K144" s="9">
        <v>1446</v>
      </c>
      <c r="L144" s="9">
        <f t="shared" si="5"/>
        <v>8680</v>
      </c>
    </row>
    <row r="145" spans="1:12">
      <c r="A145" s="7"/>
      <c r="B145" s="3" t="s">
        <v>239</v>
      </c>
      <c r="C145" s="8" t="s">
        <v>240</v>
      </c>
      <c r="D145" s="9">
        <v>97719</v>
      </c>
      <c r="E145" s="9">
        <v>77652</v>
      </c>
      <c r="F145" s="1"/>
      <c r="G145" s="1"/>
      <c r="H145" s="9">
        <v>3408</v>
      </c>
      <c r="I145" s="1"/>
      <c r="J145" s="9">
        <f>8000+49054</f>
        <v>57054</v>
      </c>
      <c r="K145" s="9">
        <v>1915</v>
      </c>
      <c r="L145" s="9">
        <f t="shared" si="5"/>
        <v>140029</v>
      </c>
    </row>
    <row r="146" spans="1:12">
      <c r="A146" s="7"/>
      <c r="B146" s="3" t="s">
        <v>241</v>
      </c>
      <c r="C146" s="8" t="s">
        <v>242</v>
      </c>
      <c r="D146" s="9">
        <v>37128</v>
      </c>
      <c r="E146" s="9">
        <v>33524</v>
      </c>
      <c r="F146" s="1"/>
      <c r="G146" s="1"/>
      <c r="H146" s="9"/>
      <c r="I146" s="1">
        <v>-83</v>
      </c>
      <c r="J146" s="9"/>
      <c r="K146" s="9"/>
      <c r="L146" s="9">
        <f t="shared" si="5"/>
        <v>33441</v>
      </c>
    </row>
    <row r="147" spans="1:12">
      <c r="A147" s="7"/>
      <c r="B147" s="3" t="s">
        <v>243</v>
      </c>
      <c r="C147" s="8" t="s">
        <v>244</v>
      </c>
      <c r="D147" s="9">
        <v>3478</v>
      </c>
      <c r="E147" s="9">
        <v>3467</v>
      </c>
      <c r="F147" s="1"/>
      <c r="G147" s="1"/>
      <c r="H147" s="9"/>
      <c r="I147" s="1"/>
      <c r="J147" s="9"/>
      <c r="K147" s="9"/>
      <c r="L147" s="9">
        <f t="shared" si="5"/>
        <v>3467</v>
      </c>
    </row>
    <row r="148" spans="1:12">
      <c r="A148" s="7"/>
      <c r="B148" s="3" t="s">
        <v>245</v>
      </c>
      <c r="C148" s="8" t="s">
        <v>246</v>
      </c>
      <c r="D148" s="9">
        <v>7430</v>
      </c>
      <c r="E148" s="9">
        <v>7407</v>
      </c>
      <c r="F148" s="1"/>
      <c r="G148" s="1"/>
      <c r="H148" s="9"/>
      <c r="I148" s="1"/>
      <c r="J148" s="9"/>
      <c r="K148" s="9"/>
      <c r="L148" s="9">
        <f t="shared" si="5"/>
        <v>7407</v>
      </c>
    </row>
    <row r="149" spans="1:12">
      <c r="A149" s="7"/>
      <c r="B149" s="3" t="s">
        <v>247</v>
      </c>
      <c r="C149" s="8" t="s">
        <v>248</v>
      </c>
      <c r="D149" s="9">
        <v>25271</v>
      </c>
      <c r="E149" s="9">
        <v>25193</v>
      </c>
      <c r="F149" s="1"/>
      <c r="G149" s="1"/>
      <c r="H149" s="9"/>
      <c r="I149" s="1"/>
      <c r="J149" s="9"/>
      <c r="K149" s="9"/>
      <c r="L149" s="9">
        <f t="shared" si="5"/>
        <v>25193</v>
      </c>
    </row>
    <row r="150" spans="1:12">
      <c r="A150" s="7"/>
      <c r="B150" s="7"/>
      <c r="C150" s="10" t="s">
        <v>249</v>
      </c>
      <c r="D150" s="11">
        <f>SUM(D130:D149)</f>
        <v>738788</v>
      </c>
      <c r="E150" s="11">
        <f>SUM(E130:E149)</f>
        <v>702171</v>
      </c>
      <c r="F150" s="12"/>
      <c r="G150" s="12"/>
      <c r="H150" s="11">
        <f>SUM(H130:H149)</f>
        <v>3408</v>
      </c>
      <c r="I150" s="11">
        <f>SUM(I130:I149)</f>
        <v>-789</v>
      </c>
      <c r="J150" s="11">
        <f>SUM(J130:J149)</f>
        <v>54954</v>
      </c>
      <c r="K150" s="11">
        <f>SUM(K130:K149)</f>
        <v>-491</v>
      </c>
      <c r="L150" s="11">
        <f>SUM(L130:L149)</f>
        <v>759253</v>
      </c>
    </row>
    <row r="151" spans="1:12">
      <c r="A151" s="7"/>
      <c r="B151" s="3" t="s">
        <v>250</v>
      </c>
      <c r="C151" s="8" t="s">
        <v>323</v>
      </c>
      <c r="D151" s="9">
        <v>4164</v>
      </c>
      <c r="E151" s="9">
        <v>4151</v>
      </c>
      <c r="F151" s="1"/>
      <c r="G151" s="1"/>
      <c r="H151" s="9"/>
      <c r="I151" s="1"/>
      <c r="J151" s="9"/>
      <c r="K151" s="9">
        <f>667+41+75</f>
        <v>783</v>
      </c>
      <c r="L151" s="9">
        <f t="shared" ref="L151:L159" si="6">SUM(E151:K151)</f>
        <v>4934</v>
      </c>
    </row>
    <row r="152" spans="1:12">
      <c r="A152" s="7"/>
      <c r="B152" s="3" t="s">
        <v>251</v>
      </c>
      <c r="C152" s="8" t="s">
        <v>381</v>
      </c>
      <c r="D152" s="9">
        <v>1824</v>
      </c>
      <c r="E152" s="9">
        <v>1819</v>
      </c>
      <c r="F152" s="1"/>
      <c r="G152" s="1"/>
      <c r="H152" s="9"/>
      <c r="I152" s="1"/>
      <c r="J152" s="9"/>
      <c r="K152" s="9">
        <f>363-446-90-42</f>
        <v>-215</v>
      </c>
      <c r="L152" s="9">
        <f t="shared" si="6"/>
        <v>1604</v>
      </c>
    </row>
    <row r="153" spans="1:12">
      <c r="A153" s="7"/>
      <c r="B153" s="3" t="s">
        <v>252</v>
      </c>
      <c r="C153" s="8" t="s">
        <v>253</v>
      </c>
      <c r="D153" s="9">
        <v>24098</v>
      </c>
      <c r="E153" s="9">
        <v>24058</v>
      </c>
      <c r="F153" s="1"/>
      <c r="G153" s="1"/>
      <c r="H153" s="9"/>
      <c r="I153" s="1"/>
      <c r="J153" s="9"/>
      <c r="K153" s="9">
        <f>4795-75+27-404-1804</f>
        <v>2539</v>
      </c>
      <c r="L153" s="9">
        <f t="shared" si="6"/>
        <v>26597</v>
      </c>
    </row>
    <row r="154" spans="1:12">
      <c r="A154" s="7"/>
      <c r="B154" s="3" t="s">
        <v>254</v>
      </c>
      <c r="C154" s="22" t="s">
        <v>368</v>
      </c>
      <c r="D154" s="9">
        <v>12976</v>
      </c>
      <c r="E154" s="9">
        <v>12936</v>
      </c>
      <c r="F154" s="1"/>
      <c r="G154" s="1"/>
      <c r="H154" s="9"/>
      <c r="I154" s="1"/>
      <c r="J154" s="9"/>
      <c r="K154" s="9">
        <f>2482-75</f>
        <v>2407</v>
      </c>
      <c r="L154" s="9">
        <f t="shared" si="6"/>
        <v>15343</v>
      </c>
    </row>
    <row r="155" spans="1:12">
      <c r="A155" s="7"/>
      <c r="B155" s="3" t="s">
        <v>255</v>
      </c>
      <c r="C155" s="8" t="s">
        <v>256</v>
      </c>
      <c r="D155" s="9">
        <v>79360</v>
      </c>
      <c r="E155" s="9">
        <v>79282</v>
      </c>
      <c r="F155" s="1"/>
      <c r="G155" s="1"/>
      <c r="H155" s="9"/>
      <c r="I155" s="1"/>
      <c r="J155" s="9">
        <f>76000+40000</f>
        <v>116000</v>
      </c>
      <c r="K155" s="9">
        <f>-2780-6925-1464-500-1300-228</f>
        <v>-13197</v>
      </c>
      <c r="L155" s="9">
        <f t="shared" si="6"/>
        <v>182085</v>
      </c>
    </row>
    <row r="156" spans="1:12">
      <c r="A156" s="7"/>
      <c r="B156" s="3" t="s">
        <v>257</v>
      </c>
      <c r="C156" s="8" t="s">
        <v>258</v>
      </c>
      <c r="D156" s="9">
        <v>2950</v>
      </c>
      <c r="E156" s="9">
        <v>2941</v>
      </c>
      <c r="F156" s="1"/>
      <c r="G156" s="1"/>
      <c r="H156" s="9"/>
      <c r="I156" s="1"/>
      <c r="J156" s="9"/>
      <c r="K156" s="9"/>
      <c r="L156" s="9">
        <f t="shared" si="6"/>
        <v>2941</v>
      </c>
    </row>
    <row r="157" spans="1:12">
      <c r="A157" s="7"/>
      <c r="B157" s="3" t="s">
        <v>259</v>
      </c>
      <c r="C157" s="8" t="s">
        <v>43</v>
      </c>
      <c r="D157" s="9">
        <v>5097</v>
      </c>
      <c r="E157" s="9">
        <v>5081</v>
      </c>
      <c r="F157" s="1"/>
      <c r="G157" s="1"/>
      <c r="H157" s="9"/>
      <c r="I157" s="1"/>
      <c r="J157" s="9"/>
      <c r="K157" s="9"/>
      <c r="L157" s="9">
        <f t="shared" si="6"/>
        <v>5081</v>
      </c>
    </row>
    <row r="158" spans="1:12">
      <c r="A158" s="7"/>
      <c r="B158" s="3" t="s">
        <v>260</v>
      </c>
      <c r="C158" s="8" t="s">
        <v>360</v>
      </c>
      <c r="D158" s="9">
        <v>34629</v>
      </c>
      <c r="E158" s="9">
        <v>34556</v>
      </c>
      <c r="F158" s="1"/>
      <c r="G158" s="1"/>
      <c r="H158" s="9"/>
      <c r="I158" s="1"/>
      <c r="J158" s="9"/>
      <c r="K158" s="9">
        <f>-4016-2462+5425+1464-282+1021+1300+561+1892+295-207</f>
        <v>4991</v>
      </c>
      <c r="L158" s="9">
        <f t="shared" si="6"/>
        <v>39547</v>
      </c>
    </row>
    <row r="159" spans="1:12">
      <c r="A159" s="7"/>
      <c r="B159" s="3" t="s">
        <v>261</v>
      </c>
      <c r="C159" s="8" t="s">
        <v>262</v>
      </c>
      <c r="D159" s="9">
        <v>2245</v>
      </c>
      <c r="E159" s="9">
        <v>2242</v>
      </c>
      <c r="F159" s="1"/>
      <c r="G159" s="1"/>
      <c r="H159" s="9"/>
      <c r="I159" s="1"/>
      <c r="J159" s="9"/>
      <c r="K159" s="9"/>
      <c r="L159" s="9">
        <f t="shared" si="6"/>
        <v>2242</v>
      </c>
    </row>
    <row r="160" spans="1:12">
      <c r="A160" s="7"/>
      <c r="B160" s="7"/>
      <c r="C160" s="10" t="s">
        <v>263</v>
      </c>
      <c r="D160" s="11">
        <f>SUM(D151:D159)</f>
        <v>167343</v>
      </c>
      <c r="E160" s="11">
        <f>SUM(E151:E159)</f>
        <v>167066</v>
      </c>
      <c r="F160" s="12"/>
      <c r="G160" s="12"/>
      <c r="H160" s="11"/>
      <c r="I160" s="12"/>
      <c r="J160" s="11">
        <f>SUM(J151:J159)</f>
        <v>116000</v>
      </c>
      <c r="K160" s="11">
        <f>SUM(K151:K159)</f>
        <v>-2692</v>
      </c>
      <c r="L160" s="11">
        <f>SUM(L151:L159)</f>
        <v>280374</v>
      </c>
    </row>
    <row r="161" spans="1:12">
      <c r="A161" s="7"/>
      <c r="B161" s="3" t="s">
        <v>264</v>
      </c>
      <c r="C161" s="8" t="s">
        <v>347</v>
      </c>
      <c r="D161" s="9">
        <v>17178</v>
      </c>
      <c r="E161" s="9">
        <v>17125</v>
      </c>
      <c r="F161" s="1"/>
      <c r="G161" s="1"/>
      <c r="H161" s="9"/>
      <c r="I161" s="1"/>
      <c r="J161" s="9">
        <v>1394</v>
      </c>
      <c r="K161" s="9">
        <f>1543+1500</f>
        <v>3043</v>
      </c>
      <c r="L161" s="9">
        <f>SUM(E161:K161)</f>
        <v>21562</v>
      </c>
    </row>
    <row r="162" spans="1:12">
      <c r="A162" s="7"/>
      <c r="B162" s="3" t="s">
        <v>265</v>
      </c>
      <c r="C162" s="8" t="s">
        <v>349</v>
      </c>
      <c r="D162" s="9">
        <v>6368</v>
      </c>
      <c r="E162" s="9">
        <v>9538</v>
      </c>
      <c r="F162" s="1"/>
      <c r="G162" s="1"/>
      <c r="H162" s="9"/>
      <c r="I162" s="1"/>
      <c r="J162" s="9"/>
      <c r="K162" s="9">
        <v>400</v>
      </c>
      <c r="L162" s="9">
        <f>SUM(E162:K162)</f>
        <v>9938</v>
      </c>
    </row>
    <row r="163" spans="1:12">
      <c r="A163" s="3" t="s">
        <v>34</v>
      </c>
      <c r="B163" s="2"/>
      <c r="C163" s="8" t="s">
        <v>266</v>
      </c>
      <c r="D163" s="7"/>
      <c r="E163" s="1" t="s">
        <v>66</v>
      </c>
      <c r="F163" s="1"/>
      <c r="G163" s="1"/>
      <c r="H163" s="9"/>
      <c r="I163" s="7"/>
      <c r="J163" s="20"/>
      <c r="K163" s="18"/>
      <c r="L163" s="1" t="s">
        <v>67</v>
      </c>
    </row>
    <row r="164" spans="1:12">
      <c r="A164" s="7"/>
      <c r="B164" s="3" t="s">
        <v>267</v>
      </c>
      <c r="C164" s="8" t="s">
        <v>268</v>
      </c>
      <c r="D164" s="9">
        <v>6217</v>
      </c>
      <c r="E164" s="9">
        <v>6198</v>
      </c>
      <c r="F164" s="1"/>
      <c r="G164" s="1"/>
      <c r="H164" s="9"/>
      <c r="I164" s="1"/>
      <c r="J164" s="9"/>
      <c r="K164" s="9"/>
      <c r="L164" s="9">
        <f>SUM(E164:K164)</f>
        <v>6198</v>
      </c>
    </row>
    <row r="165" spans="1:12">
      <c r="A165" s="7"/>
      <c r="B165" s="3" t="s">
        <v>269</v>
      </c>
      <c r="C165" s="8" t="s">
        <v>270</v>
      </c>
      <c r="D165" s="9">
        <v>71597</v>
      </c>
      <c r="E165" s="9">
        <v>71376</v>
      </c>
      <c r="F165" s="1"/>
      <c r="G165" s="1"/>
      <c r="H165" s="9"/>
      <c r="I165" s="1">
        <f>-206-2</f>
        <v>-208</v>
      </c>
      <c r="J165" s="9"/>
      <c r="K165" s="9">
        <v>489</v>
      </c>
      <c r="L165" s="9">
        <f>SUM(E165:K165)</f>
        <v>71657</v>
      </c>
    </row>
    <row r="166" spans="1:12">
      <c r="A166" s="7"/>
      <c r="B166" s="7"/>
      <c r="C166" s="10" t="s">
        <v>271</v>
      </c>
      <c r="D166" s="11">
        <f>SUM(D161:D165)</f>
        <v>101360</v>
      </c>
      <c r="E166" s="11">
        <f>SUM(E161:E165)</f>
        <v>104237</v>
      </c>
      <c r="F166" s="12"/>
      <c r="G166" s="12"/>
      <c r="H166" s="11"/>
      <c r="I166" s="11">
        <f>SUM(I161:I165)</f>
        <v>-208</v>
      </c>
      <c r="J166" s="11">
        <f>SUM(J161:J165)</f>
        <v>1394</v>
      </c>
      <c r="K166" s="11">
        <f>SUM(K161:K165)</f>
        <v>3932</v>
      </c>
      <c r="L166" s="11">
        <f>SUM(L161:L165)</f>
        <v>109355</v>
      </c>
    </row>
    <row r="167" spans="1:12">
      <c r="A167" s="7"/>
      <c r="B167" s="3" t="s">
        <v>272</v>
      </c>
      <c r="C167" s="8" t="s">
        <v>273</v>
      </c>
      <c r="D167" s="9">
        <v>12944</v>
      </c>
      <c r="E167" s="9">
        <v>11692</v>
      </c>
      <c r="F167" s="1"/>
      <c r="G167" s="1"/>
      <c r="H167" s="9"/>
      <c r="I167" s="1"/>
      <c r="J167" s="9"/>
      <c r="K167" s="9"/>
      <c r="L167" s="9">
        <f t="shared" ref="L167:L178" si="7">SUM(E167:K167)</f>
        <v>11692</v>
      </c>
    </row>
    <row r="168" spans="1:12">
      <c r="A168" s="7"/>
      <c r="B168" s="3" t="s">
        <v>274</v>
      </c>
      <c r="C168" s="8" t="s">
        <v>341</v>
      </c>
      <c r="D168" s="9">
        <v>59267</v>
      </c>
      <c r="E168" s="9">
        <v>48532</v>
      </c>
      <c r="F168" s="1"/>
      <c r="G168" s="1"/>
      <c r="H168" s="9"/>
      <c r="I168" s="1"/>
      <c r="J168" s="9"/>
      <c r="K168" s="9">
        <f>3600+5000-1224-118+459+9</f>
        <v>7726</v>
      </c>
      <c r="L168" s="9">
        <f t="shared" si="7"/>
        <v>56258</v>
      </c>
    </row>
    <row r="169" spans="1:12">
      <c r="A169" s="7"/>
      <c r="B169" s="3" t="s">
        <v>275</v>
      </c>
      <c r="C169" s="8" t="s">
        <v>276</v>
      </c>
      <c r="D169" s="9">
        <v>2084</v>
      </c>
      <c r="E169" s="9">
        <v>2078</v>
      </c>
      <c r="F169" s="1"/>
      <c r="G169" s="1"/>
      <c r="H169" s="9"/>
      <c r="I169" s="1"/>
      <c r="J169" s="9"/>
      <c r="K169" s="9"/>
      <c r="L169" s="9">
        <f t="shared" si="7"/>
        <v>2078</v>
      </c>
    </row>
    <row r="170" spans="1:12">
      <c r="A170" s="7"/>
      <c r="B170" s="3" t="s">
        <v>277</v>
      </c>
      <c r="C170" s="8" t="s">
        <v>342</v>
      </c>
      <c r="D170" s="9">
        <v>5517</v>
      </c>
      <c r="E170" s="9">
        <v>5500</v>
      </c>
      <c r="F170" s="1"/>
      <c r="G170" s="1"/>
      <c r="H170" s="9"/>
      <c r="I170" s="1"/>
      <c r="J170" s="9"/>
      <c r="K170" s="9">
        <f>360-12</f>
        <v>348</v>
      </c>
      <c r="L170" s="9">
        <f t="shared" si="7"/>
        <v>5848</v>
      </c>
    </row>
    <row r="171" spans="1:12">
      <c r="A171" s="7"/>
      <c r="B171" s="3" t="s">
        <v>278</v>
      </c>
      <c r="C171" s="8" t="s">
        <v>343</v>
      </c>
      <c r="D171" s="9">
        <v>1537</v>
      </c>
      <c r="E171" s="9">
        <v>1532</v>
      </c>
      <c r="F171" s="1"/>
      <c r="G171" s="1"/>
      <c r="H171" s="9"/>
      <c r="I171" s="1"/>
      <c r="J171" s="9"/>
      <c r="K171" s="9">
        <v>306</v>
      </c>
      <c r="L171" s="9">
        <f t="shared" si="7"/>
        <v>1838</v>
      </c>
    </row>
    <row r="172" spans="1:12">
      <c r="A172" s="7"/>
      <c r="B172" s="3" t="s">
        <v>279</v>
      </c>
      <c r="C172" s="8" t="s">
        <v>280</v>
      </c>
      <c r="D172" s="9">
        <v>19463</v>
      </c>
      <c r="E172" s="9">
        <v>19403</v>
      </c>
      <c r="F172" s="1"/>
      <c r="G172" s="1"/>
      <c r="H172" s="9"/>
      <c r="I172" s="1"/>
      <c r="J172" s="9">
        <v>-8879</v>
      </c>
      <c r="K172" s="9"/>
      <c r="L172" s="9">
        <f t="shared" si="7"/>
        <v>10524</v>
      </c>
    </row>
    <row r="173" spans="1:12">
      <c r="A173" s="7"/>
      <c r="B173" s="3" t="s">
        <v>281</v>
      </c>
      <c r="C173" s="8" t="s">
        <v>390</v>
      </c>
      <c r="D173" s="9">
        <v>27702</v>
      </c>
      <c r="E173" s="9">
        <v>27664</v>
      </c>
      <c r="F173" s="1"/>
      <c r="G173" s="1"/>
      <c r="H173" s="9"/>
      <c r="I173" s="1"/>
      <c r="J173" s="9"/>
      <c r="K173" s="9">
        <f>-809-4723+5400+1300</f>
        <v>1168</v>
      </c>
      <c r="L173" s="9">
        <f t="shared" si="7"/>
        <v>28832</v>
      </c>
    </row>
    <row r="174" spans="1:12">
      <c r="A174" s="7"/>
      <c r="B174" s="3" t="s">
        <v>282</v>
      </c>
      <c r="C174" s="8" t="s">
        <v>373</v>
      </c>
      <c r="D174" s="9">
        <v>8424</v>
      </c>
      <c r="E174" s="9">
        <v>5308</v>
      </c>
      <c r="F174" s="1"/>
      <c r="G174" s="1"/>
      <c r="H174" s="9">
        <v>28168</v>
      </c>
      <c r="I174" s="1"/>
      <c r="J174" s="9">
        <v>18068</v>
      </c>
      <c r="K174" s="9">
        <f>-4551+4723-382-390-6036-1300</f>
        <v>-7936</v>
      </c>
      <c r="L174" s="9">
        <f t="shared" si="7"/>
        <v>43608</v>
      </c>
    </row>
    <row r="175" spans="1:12">
      <c r="A175" s="7"/>
      <c r="B175" s="3" t="s">
        <v>283</v>
      </c>
      <c r="C175" s="8" t="s">
        <v>391</v>
      </c>
      <c r="D175" s="9">
        <v>18183</v>
      </c>
      <c r="E175" s="9">
        <v>16437</v>
      </c>
      <c r="F175" s="1"/>
      <c r="G175" s="1"/>
      <c r="H175" s="9"/>
      <c r="I175" s="1"/>
      <c r="J175" s="9"/>
      <c r="K175" s="9">
        <v>-9</v>
      </c>
      <c r="L175" s="9">
        <f t="shared" si="7"/>
        <v>16428</v>
      </c>
    </row>
    <row r="176" spans="1:12">
      <c r="A176" s="7"/>
      <c r="B176" s="3" t="s">
        <v>284</v>
      </c>
      <c r="C176" s="8" t="s">
        <v>285</v>
      </c>
      <c r="D176" s="9">
        <v>218442</v>
      </c>
      <c r="E176" s="9">
        <v>179051</v>
      </c>
      <c r="F176" s="1"/>
      <c r="G176" s="1"/>
      <c r="H176" s="9"/>
      <c r="I176" s="1"/>
      <c r="J176" s="9">
        <f>-10200+1985</f>
        <v>-8215</v>
      </c>
      <c r="K176" s="9">
        <f>1050+500-57+247</f>
        <v>1740</v>
      </c>
      <c r="L176" s="9">
        <f t="shared" si="7"/>
        <v>172576</v>
      </c>
    </row>
    <row r="177" spans="1:12">
      <c r="A177" s="7"/>
      <c r="B177" s="3">
        <v>8150</v>
      </c>
      <c r="C177" s="8" t="s">
        <v>325</v>
      </c>
      <c r="D177" s="1">
        <v>0</v>
      </c>
      <c r="E177" s="1">
        <v>0</v>
      </c>
      <c r="F177" s="1"/>
      <c r="G177" s="1"/>
      <c r="H177" s="9"/>
      <c r="I177" s="9">
        <f>774+12+120+104-1+17+2+88+2</f>
        <v>1118</v>
      </c>
      <c r="J177" s="9"/>
      <c r="K177" s="9"/>
      <c r="L177" s="9">
        <f>SUM(E177:K177)</f>
        <v>1118</v>
      </c>
    </row>
    <row r="178" spans="1:12">
      <c r="A178" s="7"/>
      <c r="B178" s="3" t="s">
        <v>286</v>
      </c>
      <c r="C178" s="8" t="s">
        <v>344</v>
      </c>
      <c r="D178" s="9">
        <v>79747</v>
      </c>
      <c r="E178" s="9">
        <v>70529</v>
      </c>
      <c r="F178" s="1"/>
      <c r="G178" s="1"/>
      <c r="H178" s="9"/>
      <c r="I178" s="1"/>
      <c r="J178" s="9"/>
      <c r="K178" s="9">
        <f>10000+150+2500</f>
        <v>12650</v>
      </c>
      <c r="L178" s="9">
        <f t="shared" si="7"/>
        <v>83179</v>
      </c>
    </row>
    <row r="179" spans="1:12">
      <c r="A179" s="3" t="s">
        <v>34</v>
      </c>
      <c r="B179" s="2"/>
      <c r="C179" s="8" t="s">
        <v>287</v>
      </c>
      <c r="D179" s="7"/>
      <c r="E179" s="1" t="s">
        <v>288</v>
      </c>
      <c r="F179" s="1"/>
      <c r="G179" s="1"/>
      <c r="H179" s="9"/>
      <c r="I179" s="7"/>
      <c r="J179" s="20"/>
      <c r="K179" s="18"/>
      <c r="L179" s="1" t="s">
        <v>289</v>
      </c>
    </row>
    <row r="180" spans="1:12">
      <c r="A180" s="7"/>
      <c r="B180" s="3" t="s">
        <v>290</v>
      </c>
      <c r="C180" s="8" t="s">
        <v>291</v>
      </c>
      <c r="D180" s="1">
        <v>0</v>
      </c>
      <c r="E180" s="1">
        <v>0</v>
      </c>
      <c r="F180" s="1"/>
      <c r="G180" s="1"/>
      <c r="H180" s="9"/>
      <c r="I180" s="9">
        <f>3+3410</f>
        <v>3413</v>
      </c>
      <c r="J180" s="9"/>
      <c r="K180" s="9"/>
      <c r="L180" s="9">
        <f>SUM(E180:K180)</f>
        <v>3413</v>
      </c>
    </row>
    <row r="181" spans="1:12">
      <c r="A181" s="7"/>
      <c r="B181" s="7"/>
      <c r="C181" s="14" t="s">
        <v>292</v>
      </c>
      <c r="D181" s="11">
        <f>SUM(D167:D180)</f>
        <v>453310</v>
      </c>
      <c r="E181" s="11">
        <f>SUM(E167:E180)</f>
        <v>387726</v>
      </c>
      <c r="F181" s="12"/>
      <c r="G181" s="12"/>
      <c r="H181" s="11">
        <f>SUM(H167:H180)</f>
        <v>28168</v>
      </c>
      <c r="I181" s="11">
        <f>SUM(I167:I180)</f>
        <v>4531</v>
      </c>
      <c r="J181" s="11">
        <f>SUM(J167:J180)</f>
        <v>974</v>
      </c>
      <c r="K181" s="11">
        <f>SUM(K167:K180)</f>
        <v>15993</v>
      </c>
      <c r="L181" s="11">
        <f>SUM(L167:L180)</f>
        <v>437392</v>
      </c>
    </row>
    <row r="182" spans="1:12">
      <c r="A182" s="7"/>
      <c r="B182" s="3" t="s">
        <v>293</v>
      </c>
      <c r="C182" s="8" t="s">
        <v>324</v>
      </c>
      <c r="D182" s="9">
        <v>250633</v>
      </c>
      <c r="E182" s="9">
        <v>249869</v>
      </c>
      <c r="F182" s="1"/>
      <c r="G182" s="1"/>
      <c r="H182" s="9"/>
      <c r="I182" s="1">
        <f>-61-118</f>
        <v>-179</v>
      </c>
      <c r="J182" s="9"/>
      <c r="K182" s="9">
        <f>-13611-500+1697</f>
        <v>-12414</v>
      </c>
      <c r="L182" s="9">
        <f>SUM(E182:K182)</f>
        <v>237276</v>
      </c>
    </row>
    <row r="183" spans="1:12">
      <c r="A183" s="7"/>
      <c r="B183" s="7"/>
      <c r="C183" s="10" t="s">
        <v>294</v>
      </c>
      <c r="D183" s="11">
        <f>SUM(D182)</f>
        <v>250633</v>
      </c>
      <c r="E183" s="11">
        <f>SUM(E182)</f>
        <v>249869</v>
      </c>
      <c r="F183" s="12"/>
      <c r="G183" s="12"/>
      <c r="H183" s="11"/>
      <c r="I183" s="11">
        <f>SUM(I182)</f>
        <v>-179</v>
      </c>
      <c r="J183" s="11"/>
      <c r="K183" s="11">
        <f>SUM(K182)</f>
        <v>-12414</v>
      </c>
      <c r="L183" s="11">
        <f>SUM(L182)</f>
        <v>237276</v>
      </c>
    </row>
    <row r="184" spans="1:12">
      <c r="A184" s="7"/>
      <c r="B184" s="10" t="s">
        <v>295</v>
      </c>
      <c r="C184" s="10" t="s">
        <v>3</v>
      </c>
      <c r="D184" s="11">
        <f>+D46+D112+D129+D150+D160+D166+D181+D183</f>
        <v>5979194</v>
      </c>
      <c r="E184" s="11">
        <f>+E46+E112+E129+E150+E160+E166+E181+E183</f>
        <v>5665469</v>
      </c>
      <c r="F184" s="12"/>
      <c r="G184" s="12"/>
      <c r="H184" s="11">
        <f>+H46+H112+H129+H150+H160+H166+H181+H183</f>
        <v>22534</v>
      </c>
      <c r="I184" s="11">
        <f>+I46+I112+I129+I150+I160+I166+I181+I183</f>
        <v>0</v>
      </c>
      <c r="J184" s="11">
        <f>+J46+J112+J129+J150+J160+J166+J181+J183</f>
        <v>275390</v>
      </c>
      <c r="K184" s="11">
        <f>+K46+K112+K129+K150+K160+K166+K181+K183</f>
        <v>0</v>
      </c>
      <c r="L184" s="11">
        <f>+L46+L112+L129+L150+L160+L166+L181+L183</f>
        <v>5963393</v>
      </c>
    </row>
    <row r="185" spans="1:12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7"/>
    </row>
    <row r="186" spans="1:12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40"/>
    </row>
    <row r="187" spans="1:12">
      <c r="A187" s="41" t="s">
        <v>296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3"/>
    </row>
    <row r="188" spans="1:12">
      <c r="A188" s="44" t="s">
        <v>297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6"/>
    </row>
    <row r="189" spans="1:12">
      <c r="A189" s="47" t="s">
        <v>298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9"/>
    </row>
    <row r="190" spans="1:12">
      <c r="A190" s="47" t="s">
        <v>299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9"/>
    </row>
    <row r="191" spans="1:12">
      <c r="A191" s="50" t="s">
        <v>300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2"/>
    </row>
    <row r="192" spans="1:12">
      <c r="A192" s="53" t="s">
        <v>301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5"/>
    </row>
    <row r="193" spans="1:12">
      <c r="A193" s="44" t="s">
        <v>302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6"/>
    </row>
    <row r="194" spans="1:12">
      <c r="A194" s="47" t="s">
        <v>303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9"/>
    </row>
    <row r="195" spans="1:12">
      <c r="A195" s="47" t="s">
        <v>304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9"/>
    </row>
    <row r="196" spans="1:12">
      <c r="A196" s="50" t="s">
        <v>305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2"/>
    </row>
  </sheetData>
  <mergeCells count="18">
    <mergeCell ref="A195:L195"/>
    <mergeCell ref="A196:L196"/>
    <mergeCell ref="A191:L191"/>
    <mergeCell ref="A192:L192"/>
    <mergeCell ref="A193:L193"/>
    <mergeCell ref="A194:L194"/>
    <mergeCell ref="A185:L185"/>
    <mergeCell ref="A186:L186"/>
    <mergeCell ref="A187:L187"/>
    <mergeCell ref="A188:L188"/>
    <mergeCell ref="A189:L189"/>
    <mergeCell ref="A190:L190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DD1416_mcmilliannm_3B1A32E8-142</vt:lpstr>
      <vt:lpstr>'DD1416_mcmilliannm_3B1A32E8-142'!Print_Titles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2012-07-13T19:41:24Z</cp:lastPrinted>
  <dcterms:created xsi:type="dcterms:W3CDTF">2010-04-26T17:12:30Z</dcterms:created>
  <dcterms:modified xsi:type="dcterms:W3CDTF">2012-08-07T15:25:09Z</dcterms:modified>
</cp:coreProperties>
</file>