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D 1416 As of 30 Sept 11-To OMB" sheetId="1" r:id="rId1"/>
  </sheets>
  <externalReferences>
    <externalReference r:id="rId4"/>
  </externalReferences>
  <definedNames>
    <definedName name="_xlnm.Print_Titles" localSheetId="0">'DD 1416 As of 30 Sept 11-To OMB'!$5:$5</definedName>
  </definedNames>
  <calcPr fullCalcOnLoad="1"/>
</workbook>
</file>

<file path=xl/sharedStrings.xml><?xml version="1.0" encoding="utf-8"?>
<sst xmlns="http://schemas.openxmlformats.org/spreadsheetml/2006/main" count="121" uniqueCount="115">
  <si>
    <t>AGENCY</t>
  </si>
  <si>
    <t>PROGRAM TITLE</t>
  </si>
  <si>
    <t>President's Budget Request</t>
  </si>
  <si>
    <t>Appropriation</t>
  </si>
  <si>
    <t>Distribution of Congressional Adjustments</t>
  </si>
  <si>
    <t>Adjustments Required by Statute</t>
  </si>
  <si>
    <t>Supps/ Recissions</t>
  </si>
  <si>
    <t>Cancelled Account Adjustments</t>
  </si>
  <si>
    <t xml:space="preserve">Above Threshold Reprog </t>
  </si>
  <si>
    <t>Below Threshold Reprog</t>
  </si>
  <si>
    <t>Net Program</t>
  </si>
  <si>
    <t>OFFICE OF THE SECRETARY OF DEFENSE</t>
  </si>
  <si>
    <t>MAJOR EQUIPMENT</t>
  </si>
  <si>
    <t>TOTAL OSD</t>
  </si>
  <si>
    <t>WASHINGTON HEADQUARTERS SERVICE</t>
  </si>
  <si>
    <t>MOTOR VEHICLES</t>
  </si>
  <si>
    <t>TOTAL WHS</t>
  </si>
  <si>
    <t>DEFENSE INFORMATION AGENCY</t>
  </si>
  <si>
    <t>INFORMATION SYSTEMS SECURITY</t>
  </si>
  <si>
    <t>GLOBAL COMMAND AND CONTROL SYSTEM</t>
  </si>
  <si>
    <t>GLOBAL COMBAT SUPPORT SYSTEM</t>
  </si>
  <si>
    <t>TELEPORT PROGRAM</t>
  </si>
  <si>
    <t>ITEMS LESS THAN $5 MILLION</t>
  </si>
  <si>
    <t>NET CENTRIC ENTERPRISE SERVICES (NCES)</t>
  </si>
  <si>
    <t>DEFENSE INFORMATION SYSTEM NETWORK (DISN)</t>
  </si>
  <si>
    <t>PUBLIC KEY INFRASTRUCTURE</t>
  </si>
  <si>
    <t>COUNTER DRUG SPT/ADNET</t>
  </si>
  <si>
    <t>JOINT COMMAND AND CONTROL PROGRAM</t>
  </si>
  <si>
    <t>CYBER SECURITY INITIATIVE</t>
  </si>
  <si>
    <t>TOTAL DISA</t>
  </si>
  <si>
    <t>DEFENSE LOGISTICS AGENCY</t>
  </si>
  <si>
    <t>TOTAL DLA</t>
  </si>
  <si>
    <t>DEFENSE CONTRACT AUDIT AGENCY</t>
  </si>
  <si>
    <t>ITEM LESS THAN $5 MILLION</t>
  </si>
  <si>
    <t>TOTAL DCAA</t>
  </si>
  <si>
    <t>THE JOINT STAFF</t>
  </si>
  <si>
    <t>TOTAL JOINT STAFF</t>
  </si>
  <si>
    <t>DEFENSE HUMAN RESOURCES ACTIVITY</t>
  </si>
  <si>
    <t>PERSONNEL ADMINISTRATION</t>
  </si>
  <si>
    <t>TOTAL DHRA</t>
  </si>
  <si>
    <t>DEFENSE THREAT REDUCTION AGENCY</t>
  </si>
  <si>
    <t>OTHER MAJOR EQUIPMENT</t>
  </si>
  <si>
    <t>TOTAL DTRA</t>
  </si>
  <si>
    <t>DEFENSE MEDIA AGENCY/AFIS</t>
  </si>
  <si>
    <t>TOTAL AFIS/DMA</t>
  </si>
  <si>
    <t xml:space="preserve">DEPARTMENT OF DEFENSE DEPENDENTS EDUCATION </t>
  </si>
  <si>
    <t>AUTOMATION/EDUCATIONAL SUPPORT AND LOGISTICS</t>
  </si>
  <si>
    <t>TOTAL DODEA</t>
  </si>
  <si>
    <t>DEFENSE CONTRACTING MANAGENT AGENCY</t>
  </si>
  <si>
    <t>TOTAL DCMA</t>
  </si>
  <si>
    <t>BUSINESS TRANSFORMATION AGENCY</t>
  </si>
  <si>
    <t>TOTAL BTA</t>
  </si>
  <si>
    <t>DEFENSE SECURITY CORPORATION AGENCY</t>
  </si>
  <si>
    <t>Counter Drug Support</t>
  </si>
  <si>
    <t>TOTAL DSCA</t>
  </si>
  <si>
    <t>NATIONAL SECURITY INTELLIGENCE AGENCY</t>
  </si>
  <si>
    <t>INFORMATION SYSTEMS SECURITY PROGRAM (ISSP)</t>
  </si>
  <si>
    <t>TOTAL NSA</t>
  </si>
  <si>
    <t>TOTAL MAJOR EQUIPMENT - TOTAL BA 1</t>
  </si>
  <si>
    <t>U.S. SPECIAL OPERATIONS COMMAND</t>
  </si>
  <si>
    <t>ROTARY WING UPGRADES AND SUSTAINMENT</t>
  </si>
  <si>
    <t>MH-47 SERVICE LIFE EXTENSION PROGRAM</t>
  </si>
  <si>
    <t>MH-60 SOF MODERNIZATION PROGRAM</t>
  </si>
  <si>
    <t>NON-STANDARD AVIATION</t>
  </si>
  <si>
    <t>SOF TANKER RECAPITALIZATION</t>
  </si>
  <si>
    <t>SOF U-28</t>
  </si>
  <si>
    <t>CV-22 SOF MOD</t>
  </si>
  <si>
    <t>C-130 MODIFICATIONS</t>
  </si>
  <si>
    <t>AIRCRAFT SUPPORT</t>
  </si>
  <si>
    <t>ADVANCED SEAL DELIVERY SYSTEM (ASDS)</t>
  </si>
  <si>
    <t>MK8 MOD1 SEAL DELIVERY VEHICLE</t>
  </si>
  <si>
    <t>SOF ORDANCE REPLENISHMENT</t>
  </si>
  <si>
    <t>SOF ORDANCE ACQUISITION</t>
  </si>
  <si>
    <t>COMMUNCIATIONS EQUIPMENT AND ELECTRONICS</t>
  </si>
  <si>
    <t>SOF INTELLIGENCE SYSTEMS</t>
  </si>
  <si>
    <t>SMALL ARMS AND WEAPONS</t>
  </si>
  <si>
    <t>MARITIME EQUIPMENT MODIFICATIONS</t>
  </si>
  <si>
    <t>SPECIAL APPLICATIONS FOR CONTINGENCES</t>
  </si>
  <si>
    <t>SOF COMBATANT CRAFT SYSTEMS</t>
  </si>
  <si>
    <t>SPARES AND REPAIR PARTS</t>
  </si>
  <si>
    <t>TACTICAL VEHICLES</t>
  </si>
  <si>
    <t>MISSION TRAINING AND PREPARATION SYSTEMS</t>
  </si>
  <si>
    <t>COMBAT MISSION REQUIREMENTS</t>
  </si>
  <si>
    <t>MILCON COLLATERAL EQUIPMENT</t>
  </si>
  <si>
    <t>UNMANNED VEHICLES</t>
  </si>
  <si>
    <t>SOF AUTOMATION SYSTEMS</t>
  </si>
  <si>
    <t>SOF GLOBAL VIDEO SURVEILLANCE ACTIVITIES</t>
  </si>
  <si>
    <t>SOF OPERATIONAL EHANCEMENTS INTELLIGENCE</t>
  </si>
  <si>
    <t>SOF SOLDIER PROTECTION AND SURVIVAL SYSTEMS</t>
  </si>
  <si>
    <t>SOF VISUAL AUGMENTATION LASERS AND SENSOR SYSTEMS</t>
  </si>
  <si>
    <t>SOF TACTICAL RADIO SYSTEMS</t>
  </si>
  <si>
    <t>SOF MARITIME EQUIPMENT</t>
  </si>
  <si>
    <t>MISCELLANEOUS EQUIPMENT</t>
  </si>
  <si>
    <t>SOF OPERATIONAL ENHANCEMENTS</t>
  </si>
  <si>
    <t>PSYOP EQUIPMENT</t>
  </si>
  <si>
    <t>COUNTER DRUG SUPPORT</t>
  </si>
  <si>
    <t>TOTAL SPECIAL OPERATIONS COMMAND - TOTAL BA 2</t>
  </si>
  <si>
    <t>CHEMICAL &amp; BIOLOGICAL DEFENSE PROGRAM</t>
  </si>
  <si>
    <t>INSTALLATION FORCE PROTECTION</t>
  </si>
  <si>
    <t>INDIVIDUAL PROTECTION</t>
  </si>
  <si>
    <t>DECONTAMINATION</t>
  </si>
  <si>
    <t>JOINT BIOLOGICAL DEFENSE PROGRAM</t>
  </si>
  <si>
    <t>COLLECTIVE PROTECTION</t>
  </si>
  <si>
    <t>CONTAMINATION AVOIDANCE</t>
  </si>
  <si>
    <t>TOTAL CHEMICAL BIOLOGICAL DEFENSE - TOTAL BA 3</t>
  </si>
  <si>
    <t>MISSILE DEFENSE AGENCY</t>
  </si>
  <si>
    <t>AEGIS</t>
  </si>
  <si>
    <t>THAAD</t>
  </si>
  <si>
    <t>TOTAL MISSILE DEFENSE AGENCY - TOTAL BA 1</t>
  </si>
  <si>
    <t>CLASSIFIED PROGRAMS</t>
  </si>
  <si>
    <t>TOTAL CLASSIFIED PROGRAMS</t>
  </si>
  <si>
    <t>UNDISTRIBUTED PROGRAMS</t>
  </si>
  <si>
    <t>TOTAL UNDISTRIBUTED PROGRAMS</t>
  </si>
  <si>
    <t>TOTAL AGENCIES</t>
  </si>
  <si>
    <t>TOTAL PROCUREMENT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</si>
</sst>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Alignment="1">
      <alignment/>
    </xf>
    <xf numFmtId="37" fontId="0" fillId="0" borderId="0" xfId="0" applyNumberFormat="1" applyBorder="1" applyAlignment="1">
      <alignment horizontal="center"/>
    </xf>
    <xf numFmtId="37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7" fontId="2" fillId="0" borderId="14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7" fontId="3" fillId="0" borderId="16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3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Alignment="1">
      <alignment horizontal="left"/>
    </xf>
    <xf numFmtId="37" fontId="3" fillId="0" borderId="19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19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37" fontId="2" fillId="33" borderId="19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3" fillId="0" borderId="16" xfId="0" applyNumberFormat="1" applyFont="1" applyBorder="1" applyAlignment="1">
      <alignment horizontal="left" vertical="top"/>
    </xf>
    <xf numFmtId="37" fontId="3" fillId="0" borderId="16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7" fontId="2" fillId="33" borderId="18" xfId="0" applyNumberFormat="1" applyFont="1" applyFill="1" applyBorder="1" applyAlignment="1">
      <alignment/>
    </xf>
    <xf numFmtId="37" fontId="2" fillId="33" borderId="16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/>
    </xf>
    <xf numFmtId="37" fontId="2" fillId="0" borderId="19" xfId="0" applyNumberFormat="1" applyFont="1" applyBorder="1" applyAlignment="1">
      <alignment/>
    </xf>
    <xf numFmtId="37" fontId="2" fillId="0" borderId="19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left" vertical="top"/>
    </xf>
    <xf numFmtId="37" fontId="2" fillId="33" borderId="1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8" xfId="0" applyFont="1" applyBorder="1" applyAlignment="1">
      <alignment horizontal="left"/>
    </xf>
    <xf numFmtId="3" fontId="3" fillId="0" borderId="16" xfId="0" applyNumberFormat="1" applyFont="1" applyFill="1" applyBorder="1" applyAlignment="1">
      <alignment horizontal="left" vertical="top"/>
    </xf>
    <xf numFmtId="37" fontId="40" fillId="0" borderId="0" xfId="0" applyNumberFormat="1" applyFont="1" applyFill="1" applyAlignment="1">
      <alignment/>
    </xf>
    <xf numFmtId="37" fontId="3" fillId="0" borderId="19" xfId="0" applyNumberFormat="1" applyFont="1" applyFill="1" applyBorder="1" applyAlignment="1" quotePrefix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left"/>
    </xf>
    <xf numFmtId="37" fontId="2" fillId="0" borderId="0" xfId="0" applyNumberFormat="1" applyFont="1" applyAlignment="1">
      <alignment/>
    </xf>
    <xf numFmtId="3" fontId="2" fillId="0" borderId="18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left" vertical="top"/>
    </xf>
    <xf numFmtId="37" fontId="2" fillId="33" borderId="11" xfId="0" applyNumberFormat="1" applyFont="1" applyFill="1" applyBorder="1" applyAlignment="1">
      <alignment/>
    </xf>
    <xf numFmtId="37" fontId="2" fillId="33" borderId="1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left"/>
    </xf>
    <xf numFmtId="3" fontId="2" fillId="0" borderId="16" xfId="0" applyNumberFormat="1" applyFont="1" applyFill="1" applyBorder="1" applyAlignment="1">
      <alignment horizontal="left" vertical="top"/>
    </xf>
    <xf numFmtId="37" fontId="3" fillId="0" borderId="20" xfId="0" applyNumberFormat="1" applyFont="1" applyBorder="1" applyAlignment="1">
      <alignment/>
    </xf>
    <xf numFmtId="37" fontId="2" fillId="33" borderId="11" xfId="0" applyNumberFormat="1" applyFont="1" applyFill="1" applyBorder="1" applyAlignment="1">
      <alignment horizontal="left"/>
    </xf>
    <xf numFmtId="37" fontId="2" fillId="33" borderId="12" xfId="0" applyNumberFormat="1" applyFont="1" applyFill="1" applyBorder="1" applyAlignment="1">
      <alignment horizontal="left" vertical="top"/>
    </xf>
    <xf numFmtId="37" fontId="2" fillId="33" borderId="13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18" xfId="0" applyNumberFormat="1" applyFont="1" applyFill="1" applyBorder="1" applyAlignment="1">
      <alignment horizontal="left"/>
    </xf>
    <xf numFmtId="37" fontId="2" fillId="0" borderId="16" xfId="0" applyNumberFormat="1" applyFont="1" applyFill="1" applyBorder="1" applyAlignment="1">
      <alignment horizontal="left" vertical="top"/>
    </xf>
    <xf numFmtId="37" fontId="2" fillId="0" borderId="16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udy'%20Folder\DD1414-DD1415-DD1416\DD1416\FY%202011\FY%202009-2011%20PROC%20Balance%20Tracker%20(FY%202011)-Balanced%2006-24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09-11 DD 1416 Tracker-Total"/>
      <sheetName val="FY 09-11 DD 1416 Tracker-Class"/>
      <sheetName val="DD 1416 As of 30 Dec 08"/>
      <sheetName val="DD 1416 As of 30 Dec 08 To OMB"/>
      <sheetName val="DD 1416 As of 31 Mar 09"/>
      <sheetName val="DD 1416 As of 31 Mar 09 To OMB"/>
      <sheetName val="DD 1416 As of 30 Jun 09"/>
      <sheetName val="DD 1416 As of 30 Jun 09 To OMB"/>
      <sheetName val="DD 1416 As of 30 Sep 09 To OMB"/>
      <sheetName val="DD 1416 As of 31 Dec 09 To OMB"/>
      <sheetName val="DD 1416 As of 31 Mar 10 to OMB"/>
      <sheetName val="DD 1416 as of 30 Jun 10 to OMB"/>
      <sheetName val="DD 1416 as of 30 Sep 10 to OMB"/>
      <sheetName val="DD 1416 as of 31 Dec 10 to OMB"/>
      <sheetName val="DD 1416 as of 31 Mar 11 to OMB"/>
      <sheetName val="DD 1416 as of 30 June 11 to OMB"/>
      <sheetName val="DD 1416 as of 30 Sept 11 to OMB"/>
    </sheetNames>
    <sheetDataSet>
      <sheetData sheetId="0">
        <row r="18">
          <cell r="J18">
            <v>0</v>
          </cell>
          <cell r="M18">
            <v>0</v>
          </cell>
          <cell r="P18">
            <v>0</v>
          </cell>
        </row>
        <row r="70">
          <cell r="AU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1.140625" style="1" customWidth="1"/>
    <col min="2" max="2" width="56.7109375" style="2" customWidth="1"/>
    <col min="3" max="3" width="12.421875" style="2" customWidth="1"/>
    <col min="4" max="4" width="14.57421875" style="2" customWidth="1"/>
    <col min="5" max="5" width="15.8515625" style="2" customWidth="1"/>
    <col min="6" max="6" width="14.7109375" style="2" customWidth="1"/>
    <col min="7" max="7" width="12.7109375" style="2" customWidth="1"/>
    <col min="8" max="8" width="14.7109375" style="2" customWidth="1"/>
    <col min="9" max="9" width="14.140625" style="4" customWidth="1"/>
    <col min="10" max="10" width="14.28125" style="4" customWidth="1"/>
    <col min="11" max="11" width="11.57421875" style="6" customWidth="1"/>
    <col min="12" max="12" width="9.140625" style="2" customWidth="1"/>
    <col min="13" max="13" width="9.7109375" style="2" bestFit="1" customWidth="1"/>
    <col min="14" max="16384" width="9.140625" style="2" customWidth="1"/>
  </cols>
  <sheetData>
    <row r="2" spans="4:10" ht="12.75">
      <c r="D2" s="3"/>
      <c r="H2" s="3"/>
      <c r="J2" s="5"/>
    </row>
    <row r="3" spans="2:10" ht="15">
      <c r="B3" s="4"/>
      <c r="D3" s="3"/>
      <c r="E3" s="7"/>
      <c r="H3" s="3"/>
      <c r="J3" s="5"/>
    </row>
    <row r="4" spans="4:10" ht="15.75" thickBot="1">
      <c r="D4" s="3"/>
      <c r="E4" s="8"/>
      <c r="G4" s="3"/>
      <c r="H4" s="3"/>
      <c r="I4" s="5"/>
      <c r="J4" s="5"/>
    </row>
    <row r="5" spans="1:11" ht="51" customHeight="1" thickBot="1">
      <c r="A5" s="9" t="s">
        <v>0</v>
      </c>
      <c r="B5" s="10" t="s">
        <v>1</v>
      </c>
      <c r="C5" s="11" t="s">
        <v>2</v>
      </c>
      <c r="D5" s="12" t="s">
        <v>3</v>
      </c>
      <c r="E5" s="11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4" t="s">
        <v>10</v>
      </c>
    </row>
    <row r="6" spans="1:11" ht="12.75">
      <c r="A6" s="15"/>
      <c r="B6" s="16"/>
      <c r="C6" s="17"/>
      <c r="D6" s="16"/>
      <c r="E6" s="18"/>
      <c r="F6" s="17"/>
      <c r="G6" s="18"/>
      <c r="H6" s="17"/>
      <c r="I6" s="19"/>
      <c r="J6" s="20"/>
      <c r="K6" s="21"/>
    </row>
    <row r="7" spans="1:11" ht="12.75">
      <c r="A7" s="22"/>
      <c r="B7" s="23"/>
      <c r="C7" s="24"/>
      <c r="D7" s="16"/>
      <c r="E7" s="18"/>
      <c r="F7" s="24"/>
      <c r="G7" s="18"/>
      <c r="H7" s="24"/>
      <c r="I7" s="19"/>
      <c r="J7" s="25"/>
      <c r="K7" s="21"/>
    </row>
    <row r="8" spans="1:11" ht="15">
      <c r="A8" s="22" t="s">
        <v>11</v>
      </c>
      <c r="B8" s="26" t="s">
        <v>12</v>
      </c>
      <c r="C8" s="27">
        <v>105946</v>
      </c>
      <c r="D8" s="21">
        <v>105946</v>
      </c>
      <c r="E8" s="28">
        <v>-312</v>
      </c>
      <c r="F8" s="27">
        <v>0</v>
      </c>
      <c r="G8" s="28">
        <v>0</v>
      </c>
      <c r="H8" s="27">
        <v>0</v>
      </c>
      <c r="I8" s="29">
        <f>-2273-27</f>
        <v>-2300</v>
      </c>
      <c r="J8" s="30">
        <v>0</v>
      </c>
      <c r="K8" s="21">
        <f>SUM(D8:J8)</f>
        <v>103334</v>
      </c>
    </row>
    <row r="9" spans="1:11" s="34" customFormat="1" ht="12.75">
      <c r="A9" s="31"/>
      <c r="B9" s="32" t="s">
        <v>13</v>
      </c>
      <c r="C9" s="33">
        <f aca="true" t="shared" si="0" ref="C9:I9">SUM(C8)</f>
        <v>105946</v>
      </c>
      <c r="D9" s="33">
        <f t="shared" si="0"/>
        <v>105946</v>
      </c>
      <c r="E9" s="33">
        <f t="shared" si="0"/>
        <v>-312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33">
        <f t="shared" si="0"/>
        <v>-2300</v>
      </c>
      <c r="J9" s="33">
        <f>SUM(J8:J8)</f>
        <v>0</v>
      </c>
      <c r="K9" s="33">
        <f>SUM(K8:K8)</f>
        <v>103334</v>
      </c>
    </row>
    <row r="10" spans="1:11" ht="12.75">
      <c r="A10" s="22"/>
      <c r="B10" s="35"/>
      <c r="C10" s="27"/>
      <c r="D10" s="21"/>
      <c r="E10" s="28"/>
      <c r="F10" s="27"/>
      <c r="G10" s="28"/>
      <c r="H10" s="27"/>
      <c r="I10" s="29"/>
      <c r="J10" s="30"/>
      <c r="K10" s="21"/>
    </row>
    <row r="11" spans="1:11" ht="15">
      <c r="A11" s="22" t="s">
        <v>14</v>
      </c>
      <c r="B11" t="s">
        <v>15</v>
      </c>
      <c r="C11" s="27">
        <f>SUM('[1]FY 09-11 DD 1416 Tracker-Total'!P18)</f>
        <v>0</v>
      </c>
      <c r="D11" s="21">
        <f>SUM('[1]FY 09-11 DD 1416 Tracker-Total'!J18)</f>
        <v>0</v>
      </c>
      <c r="E11" s="28">
        <f>SUM('[1]FY 09-11 DD 1416 Tracker-Total'!M18)</f>
        <v>0</v>
      </c>
      <c r="F11" s="27">
        <v>0</v>
      </c>
      <c r="G11" s="28">
        <v>0</v>
      </c>
      <c r="H11" s="27">
        <v>0</v>
      </c>
      <c r="I11" s="29">
        <v>0</v>
      </c>
      <c r="J11" s="30">
        <v>0</v>
      </c>
      <c r="K11" s="36">
        <f>SUM(D11:J11)</f>
        <v>0</v>
      </c>
    </row>
    <row r="12" spans="1:11" ht="15">
      <c r="A12" s="22"/>
      <c r="B12" t="s">
        <v>12</v>
      </c>
      <c r="C12" s="27">
        <v>26649</v>
      </c>
      <c r="D12" s="21">
        <v>26649</v>
      </c>
      <c r="E12" s="28">
        <v>-79</v>
      </c>
      <c r="F12" s="27">
        <v>0</v>
      </c>
      <c r="G12" s="28">
        <v>0</v>
      </c>
      <c r="H12" s="27">
        <v>0</v>
      </c>
      <c r="I12" s="29">
        <v>0</v>
      </c>
      <c r="J12" s="30">
        <v>0</v>
      </c>
      <c r="K12" s="36">
        <f>SUM(D12:J12)</f>
        <v>26570</v>
      </c>
    </row>
    <row r="13" spans="1:11" s="34" customFormat="1" ht="12.75">
      <c r="A13" s="31"/>
      <c r="B13" s="37" t="s">
        <v>16</v>
      </c>
      <c r="C13" s="33">
        <f>SUM(C11:C12)</f>
        <v>26649</v>
      </c>
      <c r="D13" s="33">
        <f aca="true" t="shared" si="1" ref="D13:K13">SUM(D11:D12)</f>
        <v>26649</v>
      </c>
      <c r="E13" s="33">
        <f t="shared" si="1"/>
        <v>-79</v>
      </c>
      <c r="F13" s="33">
        <f t="shared" si="1"/>
        <v>0</v>
      </c>
      <c r="G13" s="33">
        <f t="shared" si="1"/>
        <v>0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26570</v>
      </c>
    </row>
    <row r="14" spans="1:11" ht="12.75">
      <c r="A14" s="22"/>
      <c r="B14" s="35"/>
      <c r="C14" s="27"/>
      <c r="D14" s="21"/>
      <c r="E14" s="28"/>
      <c r="F14" s="27"/>
      <c r="G14" s="28"/>
      <c r="H14" s="27"/>
      <c r="I14" s="29"/>
      <c r="J14" s="30"/>
      <c r="K14" s="21"/>
    </row>
    <row r="15" spans="1:11" ht="15">
      <c r="A15" s="22" t="s">
        <v>17</v>
      </c>
      <c r="B15" s="38" t="s">
        <v>18</v>
      </c>
      <c r="C15" s="27">
        <v>54934</v>
      </c>
      <c r="D15" s="21">
        <v>48734</v>
      </c>
      <c r="E15" s="28">
        <v>-144</v>
      </c>
      <c r="F15" s="27">
        <v>0</v>
      </c>
      <c r="G15" s="27">
        <v>0</v>
      </c>
      <c r="H15" s="27">
        <v>0</v>
      </c>
      <c r="I15" s="27">
        <v>0</v>
      </c>
      <c r="J15" s="27">
        <f>-1304+595-3000+396+1980-3300</f>
        <v>-4633</v>
      </c>
      <c r="K15" s="36">
        <f>SUM(D15:J15)</f>
        <v>43957</v>
      </c>
    </row>
    <row r="16" spans="1:11" ht="15">
      <c r="A16" s="22"/>
      <c r="B16" s="38" t="s">
        <v>19</v>
      </c>
      <c r="C16" s="27">
        <v>10973</v>
      </c>
      <c r="D16" s="21">
        <v>10973</v>
      </c>
      <c r="E16" s="28">
        <v>-32</v>
      </c>
      <c r="F16" s="27">
        <v>0</v>
      </c>
      <c r="G16" s="27">
        <v>0</v>
      </c>
      <c r="H16" s="27">
        <v>0</v>
      </c>
      <c r="I16" s="27"/>
      <c r="J16" s="27">
        <f>-1900-251</f>
        <v>-2151</v>
      </c>
      <c r="K16" s="36">
        <f aca="true" t="shared" si="2" ref="K16:K25">SUM(D16:J16)</f>
        <v>8790</v>
      </c>
    </row>
    <row r="17" spans="1:11" ht="15">
      <c r="A17" s="22"/>
      <c r="B17" s="38" t="s">
        <v>20</v>
      </c>
      <c r="C17" s="27">
        <v>2788</v>
      </c>
      <c r="D17" s="21">
        <v>2788</v>
      </c>
      <c r="E17" s="28">
        <v>-8</v>
      </c>
      <c r="F17" s="27">
        <v>0</v>
      </c>
      <c r="G17" s="27">
        <v>0</v>
      </c>
      <c r="H17" s="27">
        <v>0</v>
      </c>
      <c r="I17" s="27">
        <v>200</v>
      </c>
      <c r="J17" s="27">
        <v>-111</v>
      </c>
      <c r="K17" s="36">
        <f t="shared" si="2"/>
        <v>2869</v>
      </c>
    </row>
    <row r="18" spans="1:11" ht="15">
      <c r="A18" s="22"/>
      <c r="B18" s="38" t="s">
        <v>21</v>
      </c>
      <c r="C18" s="27">
        <v>15062</v>
      </c>
      <c r="D18" s="21">
        <v>15062</v>
      </c>
      <c r="E18" s="28">
        <v>-44</v>
      </c>
      <c r="F18" s="27">
        <v>0</v>
      </c>
      <c r="G18" s="27">
        <v>0</v>
      </c>
      <c r="H18" s="27">
        <v>0</v>
      </c>
      <c r="I18" s="27">
        <v>0</v>
      </c>
      <c r="J18" s="27">
        <f>400+529-363-230</f>
        <v>336</v>
      </c>
      <c r="K18" s="36">
        <f t="shared" si="2"/>
        <v>15354</v>
      </c>
    </row>
    <row r="19" spans="1:11" ht="15">
      <c r="A19" s="22"/>
      <c r="B19" s="38" t="s">
        <v>22</v>
      </c>
      <c r="C19" s="27">
        <v>121296</v>
      </c>
      <c r="D19" s="21">
        <v>111296</v>
      </c>
      <c r="E19" s="28">
        <v>-328</v>
      </c>
      <c r="F19" s="27">
        <v>0</v>
      </c>
      <c r="G19" s="27">
        <v>0</v>
      </c>
      <c r="H19" s="27">
        <v>0</v>
      </c>
      <c r="I19" s="27">
        <v>0</v>
      </c>
      <c r="J19" s="27">
        <f>3243+1200+9560-925-1271-3300+6600+243</f>
        <v>15350</v>
      </c>
      <c r="K19" s="36">
        <f t="shared" si="2"/>
        <v>126318</v>
      </c>
    </row>
    <row r="20" spans="1:11" ht="15">
      <c r="A20" s="22"/>
      <c r="B20" s="38" t="s">
        <v>23</v>
      </c>
      <c r="C20" s="27">
        <v>36765</v>
      </c>
      <c r="D20" s="21">
        <v>36765</v>
      </c>
      <c r="E20" s="28">
        <v>-108</v>
      </c>
      <c r="F20" s="27">
        <v>0</v>
      </c>
      <c r="G20" s="27">
        <v>0</v>
      </c>
      <c r="H20" s="27">
        <v>0</v>
      </c>
      <c r="I20" s="27">
        <v>0</v>
      </c>
      <c r="J20" s="27">
        <f>-5958-1373</f>
        <v>-7331</v>
      </c>
      <c r="K20" s="36">
        <f t="shared" si="2"/>
        <v>29326</v>
      </c>
    </row>
    <row r="21" spans="1:11" ht="15">
      <c r="A21" s="22"/>
      <c r="B21" s="38" t="s">
        <v>24</v>
      </c>
      <c r="C21" s="27">
        <v>90328</v>
      </c>
      <c r="D21" s="21">
        <v>90328</v>
      </c>
      <c r="E21" s="28">
        <v>-266</v>
      </c>
      <c r="F21" s="27">
        <v>0</v>
      </c>
      <c r="G21" s="27">
        <v>0</v>
      </c>
      <c r="H21" s="27">
        <v>0</v>
      </c>
      <c r="I21" s="27">
        <v>0</v>
      </c>
      <c r="J21" s="27">
        <f>4319-595-6499+1729-13</f>
        <v>-1059</v>
      </c>
      <c r="K21" s="36">
        <f t="shared" si="2"/>
        <v>89003</v>
      </c>
    </row>
    <row r="22" spans="1:11" ht="15">
      <c r="A22" s="22"/>
      <c r="B22" s="38" t="s">
        <v>25</v>
      </c>
      <c r="C22" s="27">
        <v>1895</v>
      </c>
      <c r="D22" s="21">
        <v>1894</v>
      </c>
      <c r="E22" s="28">
        <v>-6</v>
      </c>
      <c r="F22" s="27">
        <v>0</v>
      </c>
      <c r="G22" s="27">
        <v>0</v>
      </c>
      <c r="H22" s="27">
        <v>0</v>
      </c>
      <c r="I22" s="27">
        <v>0</v>
      </c>
      <c r="J22" s="27">
        <f>0-60</f>
        <v>-60</v>
      </c>
      <c r="K22" s="36">
        <f t="shared" si="2"/>
        <v>1828</v>
      </c>
    </row>
    <row r="23" spans="1:11" ht="15">
      <c r="A23" s="22"/>
      <c r="B23" s="39" t="s">
        <v>26</v>
      </c>
      <c r="C23" s="27">
        <v>0</v>
      </c>
      <c r="D23" s="21">
        <v>0</v>
      </c>
      <c r="E23" s="28">
        <v>0</v>
      </c>
      <c r="F23" s="27">
        <v>0</v>
      </c>
      <c r="G23" s="27">
        <v>0</v>
      </c>
      <c r="H23" s="27">
        <v>0</v>
      </c>
      <c r="I23" s="27">
        <v>1316</v>
      </c>
      <c r="J23" s="27">
        <v>0</v>
      </c>
      <c r="K23" s="36">
        <f t="shared" si="2"/>
        <v>1316</v>
      </c>
    </row>
    <row r="24" spans="1:11" ht="15">
      <c r="A24" s="22"/>
      <c r="B24" s="39" t="s">
        <v>27</v>
      </c>
      <c r="C24" s="27">
        <v>7952</v>
      </c>
      <c r="D24" s="21">
        <v>4000</v>
      </c>
      <c r="E24" s="28">
        <v>-12</v>
      </c>
      <c r="F24" s="27">
        <v>0</v>
      </c>
      <c r="G24" s="27">
        <v>0</v>
      </c>
      <c r="H24" s="27">
        <v>0</v>
      </c>
      <c r="I24" s="27">
        <v>0</v>
      </c>
      <c r="J24" s="27">
        <f>0-61-280</f>
        <v>-341</v>
      </c>
      <c r="K24" s="36">
        <f t="shared" si="2"/>
        <v>3647</v>
      </c>
    </row>
    <row r="25" spans="1:11" ht="15">
      <c r="A25" s="22"/>
      <c r="B25" s="39" t="s">
        <v>28</v>
      </c>
      <c r="C25" s="27">
        <v>19100</v>
      </c>
      <c r="D25" s="21">
        <v>19100</v>
      </c>
      <c r="E25" s="28">
        <v>-56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36">
        <f t="shared" si="2"/>
        <v>19044</v>
      </c>
    </row>
    <row r="26" spans="1:11" s="34" customFormat="1" ht="12.75">
      <c r="A26" s="31"/>
      <c r="B26" s="37" t="s">
        <v>29</v>
      </c>
      <c r="C26" s="33">
        <f>SUM(C15:C25)-1</f>
        <v>361092</v>
      </c>
      <c r="D26" s="33">
        <f aca="true" t="shared" si="3" ref="D26:K26">SUM(D15:D25)</f>
        <v>340940</v>
      </c>
      <c r="E26" s="40">
        <f t="shared" si="3"/>
        <v>-1004</v>
      </c>
      <c r="F26" s="33">
        <f t="shared" si="3"/>
        <v>0</v>
      </c>
      <c r="G26" s="41">
        <f t="shared" si="3"/>
        <v>0</v>
      </c>
      <c r="H26" s="33">
        <f t="shared" si="3"/>
        <v>0</v>
      </c>
      <c r="I26" s="33">
        <f t="shared" si="3"/>
        <v>1516</v>
      </c>
      <c r="J26" s="33">
        <f t="shared" si="3"/>
        <v>0</v>
      </c>
      <c r="K26" s="33">
        <f t="shared" si="3"/>
        <v>341452</v>
      </c>
    </row>
    <row r="27" spans="1:11" ht="12.75">
      <c r="A27" s="22"/>
      <c r="B27" s="35"/>
      <c r="C27" s="27"/>
      <c r="D27" s="21"/>
      <c r="E27" s="28"/>
      <c r="F27" s="27"/>
      <c r="G27" s="28"/>
      <c r="H27" s="27"/>
      <c r="I27" s="29"/>
      <c r="J27" s="30"/>
      <c r="K27" s="21"/>
    </row>
    <row r="28" spans="1:11" ht="15">
      <c r="A28" s="22" t="s">
        <v>30</v>
      </c>
      <c r="B28" t="s">
        <v>12</v>
      </c>
      <c r="C28" s="27">
        <v>8789</v>
      </c>
      <c r="D28" s="21">
        <v>8789</v>
      </c>
      <c r="E28" s="28">
        <v>-26</v>
      </c>
      <c r="F28" s="27">
        <v>0</v>
      </c>
      <c r="G28" s="28">
        <v>0</v>
      </c>
      <c r="H28" s="27">
        <v>0</v>
      </c>
      <c r="I28" s="29">
        <v>0</v>
      </c>
      <c r="J28" s="30">
        <v>0</v>
      </c>
      <c r="K28" s="36">
        <f>SUM(D28:J28)</f>
        <v>8763</v>
      </c>
    </row>
    <row r="29" spans="1:11" ht="12.75">
      <c r="A29" s="31"/>
      <c r="B29" s="37" t="s">
        <v>31</v>
      </c>
      <c r="C29" s="33">
        <f>SUM(C28)</f>
        <v>8789</v>
      </c>
      <c r="D29" s="33">
        <f aca="true" t="shared" si="4" ref="D29:K29">SUM(D28)</f>
        <v>8789</v>
      </c>
      <c r="E29" s="33">
        <f t="shared" si="4"/>
        <v>-26</v>
      </c>
      <c r="F29" s="33">
        <f t="shared" si="4"/>
        <v>0</v>
      </c>
      <c r="G29" s="33">
        <f t="shared" si="4"/>
        <v>0</v>
      </c>
      <c r="H29" s="33">
        <f t="shared" si="4"/>
        <v>0</v>
      </c>
      <c r="I29" s="33">
        <f t="shared" si="4"/>
        <v>0</v>
      </c>
      <c r="J29" s="33">
        <f t="shared" si="4"/>
        <v>0</v>
      </c>
      <c r="K29" s="33">
        <f t="shared" si="4"/>
        <v>8763</v>
      </c>
    </row>
    <row r="30" spans="1:11" ht="12.75">
      <c r="A30" s="22"/>
      <c r="B30" s="42"/>
      <c r="C30" s="27"/>
      <c r="D30" s="21"/>
      <c r="E30" s="28"/>
      <c r="F30" s="27"/>
      <c r="G30" s="28"/>
      <c r="H30" s="27"/>
      <c r="I30" s="29"/>
      <c r="J30" s="30"/>
      <c r="K30" s="21"/>
    </row>
    <row r="31" spans="1:11" ht="15">
      <c r="A31" s="22" t="s">
        <v>32</v>
      </c>
      <c r="B31" t="s">
        <v>33</v>
      </c>
      <c r="C31" s="27">
        <v>1523</v>
      </c>
      <c r="D31" s="21">
        <v>3923</v>
      </c>
      <c r="E31" s="28">
        <v>-12</v>
      </c>
      <c r="F31" s="27">
        <v>0</v>
      </c>
      <c r="G31" s="28">
        <v>0</v>
      </c>
      <c r="H31" s="27">
        <v>0</v>
      </c>
      <c r="I31" s="29">
        <v>-2400</v>
      </c>
      <c r="J31" s="30">
        <v>0</v>
      </c>
      <c r="K31" s="36">
        <f>SUM(D31:J31)</f>
        <v>1511</v>
      </c>
    </row>
    <row r="32" spans="1:11" s="34" customFormat="1" ht="12.75">
      <c r="A32" s="31"/>
      <c r="B32" s="37" t="s">
        <v>34</v>
      </c>
      <c r="C32" s="33">
        <f>SUM(C31)</f>
        <v>1523</v>
      </c>
      <c r="D32" s="33">
        <f aca="true" t="shared" si="5" ref="D32:K32">SUM(D31)</f>
        <v>3923</v>
      </c>
      <c r="E32" s="33">
        <f t="shared" si="5"/>
        <v>-12</v>
      </c>
      <c r="F32" s="33">
        <f t="shared" si="5"/>
        <v>0</v>
      </c>
      <c r="G32" s="33">
        <f t="shared" si="5"/>
        <v>0</v>
      </c>
      <c r="H32" s="33">
        <f t="shared" si="5"/>
        <v>0</v>
      </c>
      <c r="I32" s="33">
        <f t="shared" si="5"/>
        <v>-2400</v>
      </c>
      <c r="J32" s="33">
        <f t="shared" si="5"/>
        <v>0</v>
      </c>
      <c r="K32" s="33">
        <f t="shared" si="5"/>
        <v>1511</v>
      </c>
    </row>
    <row r="33" spans="1:11" ht="12.75">
      <c r="A33" s="22"/>
      <c r="B33" s="42"/>
      <c r="C33" s="27"/>
      <c r="D33" s="21"/>
      <c r="E33" s="28"/>
      <c r="F33" s="27"/>
      <c r="G33" s="28"/>
      <c r="H33" s="27"/>
      <c r="I33" s="29"/>
      <c r="J33" s="30"/>
      <c r="K33" s="21"/>
    </row>
    <row r="34" spans="1:11" ht="15">
      <c r="A34" s="22" t="s">
        <v>35</v>
      </c>
      <c r="B34" t="s">
        <v>12</v>
      </c>
      <c r="C34" s="27">
        <v>25897</v>
      </c>
      <c r="D34" s="21">
        <v>25897</v>
      </c>
      <c r="E34" s="28">
        <v>-86</v>
      </c>
      <c r="F34" s="27">
        <v>0</v>
      </c>
      <c r="G34" s="28">
        <v>0</v>
      </c>
      <c r="H34" s="27">
        <v>0</v>
      </c>
      <c r="I34" s="29">
        <f>-276-1</f>
        <v>-277</v>
      </c>
      <c r="J34" s="30">
        <v>0</v>
      </c>
      <c r="K34" s="36">
        <f>SUM(D34:J34)+2-1</f>
        <v>25535</v>
      </c>
    </row>
    <row r="35" spans="1:11" s="34" customFormat="1" ht="12.75">
      <c r="A35" s="31"/>
      <c r="B35" s="37" t="s">
        <v>36</v>
      </c>
      <c r="C35" s="33">
        <f>SUM(C34)</f>
        <v>25897</v>
      </c>
      <c r="D35" s="33">
        <f aca="true" t="shared" si="6" ref="D35:K35">SUM(D34)</f>
        <v>25897</v>
      </c>
      <c r="E35" s="33">
        <f t="shared" si="6"/>
        <v>-86</v>
      </c>
      <c r="F35" s="33">
        <f t="shared" si="6"/>
        <v>0</v>
      </c>
      <c r="G35" s="33">
        <f t="shared" si="6"/>
        <v>0</v>
      </c>
      <c r="H35" s="33">
        <f t="shared" si="6"/>
        <v>0</v>
      </c>
      <c r="I35" s="33">
        <f t="shared" si="6"/>
        <v>-277</v>
      </c>
      <c r="J35" s="33">
        <f t="shared" si="6"/>
        <v>0</v>
      </c>
      <c r="K35" s="33">
        <f t="shared" si="6"/>
        <v>25535</v>
      </c>
    </row>
    <row r="36" spans="1:11" ht="12.75">
      <c r="A36" s="22"/>
      <c r="B36" s="42"/>
      <c r="C36" s="27"/>
      <c r="D36" s="21"/>
      <c r="E36" s="28"/>
      <c r="F36" s="27"/>
      <c r="G36" s="28"/>
      <c r="H36" s="27"/>
      <c r="I36" s="29"/>
      <c r="J36" s="30"/>
      <c r="K36" s="21"/>
    </row>
    <row r="37" spans="1:11" ht="15">
      <c r="A37" s="22" t="s">
        <v>37</v>
      </c>
      <c r="B37" t="s">
        <v>38</v>
      </c>
      <c r="C37" s="27">
        <v>19214</v>
      </c>
      <c r="D37" s="21">
        <v>10014</v>
      </c>
      <c r="E37" s="28">
        <v>-30</v>
      </c>
      <c r="F37" s="27">
        <v>0</v>
      </c>
      <c r="G37" s="28">
        <v>0</v>
      </c>
      <c r="H37" s="27">
        <v>0</v>
      </c>
      <c r="I37" s="29">
        <v>0</v>
      </c>
      <c r="J37" s="30">
        <v>0</v>
      </c>
      <c r="K37" s="36">
        <f>SUM(D37:J37)</f>
        <v>9984</v>
      </c>
    </row>
    <row r="38" spans="1:11" s="34" customFormat="1" ht="12.75">
      <c r="A38" s="31"/>
      <c r="B38" s="37" t="s">
        <v>39</v>
      </c>
      <c r="C38" s="33">
        <f>SUM(C37)</f>
        <v>19214</v>
      </c>
      <c r="D38" s="33">
        <f aca="true" t="shared" si="7" ref="D38:K38">SUM(D37)</f>
        <v>10014</v>
      </c>
      <c r="E38" s="33">
        <f t="shared" si="7"/>
        <v>-30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9984</v>
      </c>
    </row>
    <row r="39" spans="1:11" ht="12.75">
      <c r="A39" s="22"/>
      <c r="B39" s="43"/>
      <c r="C39" s="27"/>
      <c r="D39" s="21"/>
      <c r="E39" s="28"/>
      <c r="F39" s="27"/>
      <c r="G39" s="28"/>
      <c r="H39" s="27"/>
      <c r="I39" s="29"/>
      <c r="J39" s="30"/>
      <c r="K39" s="21"/>
    </row>
    <row r="40" spans="1:11" ht="15">
      <c r="A40" s="22" t="s">
        <v>40</v>
      </c>
      <c r="B40" t="s">
        <v>41</v>
      </c>
      <c r="C40" s="27">
        <v>5621</v>
      </c>
      <c r="D40" s="21">
        <v>8821</v>
      </c>
      <c r="E40" s="28">
        <v>-17</v>
      </c>
      <c r="F40" s="27">
        <v>0</v>
      </c>
      <c r="G40" s="28">
        <v>0</v>
      </c>
      <c r="H40" s="27">
        <v>0</v>
      </c>
      <c r="I40" s="29">
        <v>0</v>
      </c>
      <c r="J40" s="30">
        <v>0</v>
      </c>
      <c r="K40" s="36">
        <f>SUM(D40:J40)</f>
        <v>8804</v>
      </c>
    </row>
    <row r="41" spans="1:11" s="34" customFormat="1" ht="12.75">
      <c r="A41" s="31"/>
      <c r="B41" s="37" t="s">
        <v>42</v>
      </c>
      <c r="C41" s="33">
        <f>SUM(C40)</f>
        <v>5621</v>
      </c>
      <c r="D41" s="33">
        <f aca="true" t="shared" si="8" ref="D41:K41">SUM(D40)</f>
        <v>8821</v>
      </c>
      <c r="E41" s="33">
        <f t="shared" si="8"/>
        <v>-17</v>
      </c>
      <c r="F41" s="33">
        <f t="shared" si="8"/>
        <v>0</v>
      </c>
      <c r="G41" s="33">
        <f t="shared" si="8"/>
        <v>0</v>
      </c>
      <c r="H41" s="33">
        <f t="shared" si="8"/>
        <v>0</v>
      </c>
      <c r="I41" s="33">
        <f t="shared" si="8"/>
        <v>0</v>
      </c>
      <c r="J41" s="33">
        <f t="shared" si="8"/>
        <v>0</v>
      </c>
      <c r="K41" s="33">
        <f t="shared" si="8"/>
        <v>8804</v>
      </c>
    </row>
    <row r="42" spans="1:11" ht="12.75">
      <c r="A42" s="22"/>
      <c r="B42" s="35"/>
      <c r="C42" s="27"/>
      <c r="D42" s="21"/>
      <c r="E42" s="28"/>
      <c r="F42" s="27"/>
      <c r="G42" s="28"/>
      <c r="H42" s="27"/>
      <c r="I42" s="29"/>
      <c r="J42" s="30"/>
      <c r="K42" s="21"/>
    </row>
    <row r="43" spans="1:11" ht="15">
      <c r="A43" s="22" t="s">
        <v>43</v>
      </c>
      <c r="B43" t="s">
        <v>12</v>
      </c>
      <c r="C43" s="27">
        <v>11158</v>
      </c>
      <c r="D43" s="21">
        <v>11158</v>
      </c>
      <c r="E43" s="28">
        <v>-33</v>
      </c>
      <c r="F43" s="27">
        <v>0</v>
      </c>
      <c r="G43" s="28">
        <v>0</v>
      </c>
      <c r="H43" s="27">
        <v>0</v>
      </c>
      <c r="I43" s="29">
        <v>0</v>
      </c>
      <c r="J43" s="30">
        <v>0</v>
      </c>
      <c r="K43" s="36">
        <f>SUM(D43:J43)</f>
        <v>11125</v>
      </c>
    </row>
    <row r="44" spans="1:11" s="34" customFormat="1" ht="12.75">
      <c r="A44" s="31"/>
      <c r="B44" s="37" t="s">
        <v>44</v>
      </c>
      <c r="C44" s="33">
        <f>SUM(C43)</f>
        <v>11158</v>
      </c>
      <c r="D44" s="33">
        <f aca="true" t="shared" si="9" ref="D44:K44">SUM(D43)</f>
        <v>11158</v>
      </c>
      <c r="E44" s="33">
        <f t="shared" si="9"/>
        <v>-33</v>
      </c>
      <c r="F44" s="33">
        <f t="shared" si="9"/>
        <v>0</v>
      </c>
      <c r="G44" s="33">
        <f t="shared" si="9"/>
        <v>0</v>
      </c>
      <c r="H44" s="33">
        <f t="shared" si="9"/>
        <v>0</v>
      </c>
      <c r="I44" s="33">
        <f t="shared" si="9"/>
        <v>0</v>
      </c>
      <c r="J44" s="33">
        <f t="shared" si="9"/>
        <v>0</v>
      </c>
      <c r="K44" s="33">
        <f t="shared" si="9"/>
        <v>11125</v>
      </c>
    </row>
    <row r="45" spans="1:11" ht="12.75">
      <c r="A45" s="22"/>
      <c r="B45" s="35"/>
      <c r="C45" s="27"/>
      <c r="D45" s="21"/>
      <c r="E45" s="28"/>
      <c r="F45" s="27"/>
      <c r="G45" s="28"/>
      <c r="H45" s="27"/>
      <c r="I45" s="29"/>
      <c r="J45" s="30"/>
      <c r="K45" s="21"/>
    </row>
    <row r="46" spans="1:11" ht="15">
      <c r="A46" s="22" t="s">
        <v>45</v>
      </c>
      <c r="B46" t="s">
        <v>46</v>
      </c>
      <c r="C46" s="27">
        <v>1498</v>
      </c>
      <c r="D46" s="21">
        <v>1498</v>
      </c>
      <c r="E46" s="28">
        <v>-4</v>
      </c>
      <c r="F46" s="27">
        <v>0</v>
      </c>
      <c r="G46" s="28">
        <v>0</v>
      </c>
      <c r="H46" s="27">
        <v>0</v>
      </c>
      <c r="I46" s="29">
        <v>0</v>
      </c>
      <c r="J46" s="30">
        <v>0</v>
      </c>
      <c r="K46" s="36">
        <f>SUM(D46:J46)</f>
        <v>1494</v>
      </c>
    </row>
    <row r="47" spans="1:11" s="34" customFormat="1" ht="12.75">
      <c r="A47" s="31"/>
      <c r="B47" s="37" t="s">
        <v>47</v>
      </c>
      <c r="C47" s="33">
        <f>SUM(C46)</f>
        <v>1498</v>
      </c>
      <c r="D47" s="33">
        <f aca="true" t="shared" si="10" ref="D47:K47">SUM(D46)</f>
        <v>1498</v>
      </c>
      <c r="E47" s="33">
        <f t="shared" si="10"/>
        <v>-4</v>
      </c>
      <c r="F47" s="33">
        <f t="shared" si="10"/>
        <v>0</v>
      </c>
      <c r="G47" s="33">
        <f t="shared" si="10"/>
        <v>0</v>
      </c>
      <c r="H47" s="33">
        <f t="shared" si="10"/>
        <v>0</v>
      </c>
      <c r="I47" s="33">
        <f t="shared" si="10"/>
        <v>0</v>
      </c>
      <c r="J47" s="33">
        <f t="shared" si="10"/>
        <v>0</v>
      </c>
      <c r="K47" s="33">
        <f t="shared" si="10"/>
        <v>1494</v>
      </c>
    </row>
    <row r="48" spans="1:11" ht="12.75">
      <c r="A48" s="22"/>
      <c r="B48" s="42"/>
      <c r="C48" s="27"/>
      <c r="D48" s="21"/>
      <c r="E48" s="28"/>
      <c r="F48" s="27"/>
      <c r="G48" s="28"/>
      <c r="H48" s="27"/>
      <c r="I48" s="29"/>
      <c r="J48" s="30"/>
      <c r="K48" s="21"/>
    </row>
    <row r="49" spans="1:11" ht="15">
      <c r="A49" s="22" t="s">
        <v>48</v>
      </c>
      <c r="B49" t="s">
        <v>12</v>
      </c>
      <c r="C49" s="27">
        <v>2149</v>
      </c>
      <c r="D49" s="21">
        <v>2149</v>
      </c>
      <c r="E49" s="28">
        <v>-6</v>
      </c>
      <c r="F49" s="27">
        <v>0</v>
      </c>
      <c r="G49" s="28">
        <v>0</v>
      </c>
      <c r="H49" s="27">
        <v>0</v>
      </c>
      <c r="I49" s="29">
        <v>0</v>
      </c>
      <c r="J49" s="30">
        <v>0</v>
      </c>
      <c r="K49" s="36">
        <f>SUM(D49:J49)</f>
        <v>2143</v>
      </c>
    </row>
    <row r="50" spans="1:11" s="34" customFormat="1" ht="12.75">
      <c r="A50" s="31"/>
      <c r="B50" s="37" t="s">
        <v>49</v>
      </c>
      <c r="C50" s="33">
        <f>SUM(C49)</f>
        <v>2149</v>
      </c>
      <c r="D50" s="33">
        <f aca="true" t="shared" si="11" ref="D50:K50">SUM(D49)</f>
        <v>2149</v>
      </c>
      <c r="E50" s="33">
        <f t="shared" si="11"/>
        <v>-6</v>
      </c>
      <c r="F50" s="33">
        <f t="shared" si="11"/>
        <v>0</v>
      </c>
      <c r="G50" s="33">
        <f t="shared" si="11"/>
        <v>0</v>
      </c>
      <c r="H50" s="33">
        <f t="shared" si="11"/>
        <v>0</v>
      </c>
      <c r="I50" s="33">
        <f t="shared" si="11"/>
        <v>0</v>
      </c>
      <c r="J50" s="33">
        <f t="shared" si="11"/>
        <v>0</v>
      </c>
      <c r="K50" s="33">
        <f t="shared" si="11"/>
        <v>2143</v>
      </c>
    </row>
    <row r="51" spans="1:11" ht="12.75">
      <c r="A51" s="22"/>
      <c r="B51" s="35"/>
      <c r="C51" s="27"/>
      <c r="D51" s="21"/>
      <c r="E51" s="28"/>
      <c r="F51" s="27"/>
      <c r="G51" s="28"/>
      <c r="H51" s="27"/>
      <c r="I51" s="29"/>
      <c r="J51" s="30"/>
      <c r="K51" s="21"/>
    </row>
    <row r="52" spans="1:11" ht="15">
      <c r="A52" s="22" t="s">
        <v>50</v>
      </c>
      <c r="B52" t="s">
        <v>12</v>
      </c>
      <c r="C52" s="27">
        <v>689</v>
      </c>
      <c r="D52" s="21">
        <v>689</v>
      </c>
      <c r="E52" s="28">
        <v>-2</v>
      </c>
      <c r="F52" s="27">
        <v>0</v>
      </c>
      <c r="G52" s="28">
        <v>0</v>
      </c>
      <c r="H52" s="27">
        <v>0</v>
      </c>
      <c r="I52" s="29">
        <v>0</v>
      </c>
      <c r="J52" s="30">
        <v>0</v>
      </c>
      <c r="K52" s="36">
        <f>SUM(D52:J52)</f>
        <v>687</v>
      </c>
    </row>
    <row r="53" spans="1:11" s="34" customFormat="1" ht="12.75">
      <c r="A53" s="31"/>
      <c r="B53" s="37" t="s">
        <v>51</v>
      </c>
      <c r="C53" s="33">
        <f>SUM(C52)</f>
        <v>689</v>
      </c>
      <c r="D53" s="33">
        <f aca="true" t="shared" si="12" ref="D53:K53">SUM(D52)</f>
        <v>689</v>
      </c>
      <c r="E53" s="33">
        <f t="shared" si="12"/>
        <v>-2</v>
      </c>
      <c r="F53" s="33">
        <f t="shared" si="12"/>
        <v>0</v>
      </c>
      <c r="G53" s="33">
        <f t="shared" si="12"/>
        <v>0</v>
      </c>
      <c r="H53" s="33">
        <f t="shared" si="12"/>
        <v>0</v>
      </c>
      <c r="I53" s="33">
        <f t="shared" si="12"/>
        <v>0</v>
      </c>
      <c r="J53" s="33">
        <f t="shared" si="12"/>
        <v>0</v>
      </c>
      <c r="K53" s="33">
        <f t="shared" si="12"/>
        <v>687</v>
      </c>
    </row>
    <row r="54" spans="1:11" s="34" customFormat="1" ht="12.75">
      <c r="A54" s="22"/>
      <c r="C54" s="44"/>
      <c r="D54" s="44"/>
      <c r="E54" s="44"/>
      <c r="F54" s="44"/>
      <c r="G54" s="44"/>
      <c r="H54" s="44"/>
      <c r="I54" s="45"/>
      <c r="J54" s="45"/>
      <c r="K54" s="44"/>
    </row>
    <row r="55" spans="1:11" s="34" customFormat="1" ht="12.75">
      <c r="A55" s="22" t="s">
        <v>52</v>
      </c>
      <c r="B55" s="2" t="s">
        <v>53</v>
      </c>
      <c r="C55" s="27">
        <v>436</v>
      </c>
      <c r="D55" s="21">
        <v>436</v>
      </c>
      <c r="E55" s="28">
        <v>-1</v>
      </c>
      <c r="F55" s="27">
        <v>0</v>
      </c>
      <c r="G55" s="28">
        <v>0</v>
      </c>
      <c r="H55" s="27">
        <v>0</v>
      </c>
      <c r="I55" s="29">
        <v>0</v>
      </c>
      <c r="J55" s="30">
        <v>0</v>
      </c>
      <c r="K55" s="36">
        <f>SUM(D55:J55)</f>
        <v>435</v>
      </c>
    </row>
    <row r="56" spans="1:11" s="34" customFormat="1" ht="12.75">
      <c r="A56" s="31"/>
      <c r="B56" s="37" t="s">
        <v>54</v>
      </c>
      <c r="C56" s="33">
        <f>SUM(C55)</f>
        <v>436</v>
      </c>
      <c r="D56" s="33">
        <f aca="true" t="shared" si="13" ref="D56:K56">SUM(D55)</f>
        <v>436</v>
      </c>
      <c r="E56" s="33">
        <f t="shared" si="13"/>
        <v>-1</v>
      </c>
      <c r="F56" s="33">
        <f t="shared" si="13"/>
        <v>0</v>
      </c>
      <c r="G56" s="33">
        <f t="shared" si="13"/>
        <v>0</v>
      </c>
      <c r="H56" s="33">
        <f t="shared" si="13"/>
        <v>0</v>
      </c>
      <c r="I56" s="33">
        <f t="shared" si="13"/>
        <v>0</v>
      </c>
      <c r="J56" s="33">
        <f t="shared" si="13"/>
        <v>0</v>
      </c>
      <c r="K56" s="33">
        <f t="shared" si="13"/>
        <v>435</v>
      </c>
    </row>
    <row r="57" spans="1:11" s="34" customFormat="1" ht="12.75">
      <c r="A57" s="22"/>
      <c r="C57" s="44"/>
      <c r="D57" s="44"/>
      <c r="E57" s="44"/>
      <c r="F57" s="44"/>
      <c r="G57" s="44"/>
      <c r="H57" s="44"/>
      <c r="I57" s="45"/>
      <c r="J57" s="45"/>
      <c r="K57" s="44"/>
    </row>
    <row r="58" spans="1:11" s="34" customFormat="1" ht="12.75">
      <c r="A58" s="22" t="s">
        <v>55</v>
      </c>
      <c r="B58" s="19" t="s">
        <v>56</v>
      </c>
      <c r="C58" s="30">
        <v>4505</v>
      </c>
      <c r="D58" s="21">
        <v>4505</v>
      </c>
      <c r="E58" s="30">
        <v>-13</v>
      </c>
      <c r="F58" s="30">
        <v>0</v>
      </c>
      <c r="G58" s="28">
        <v>0</v>
      </c>
      <c r="H58" s="30">
        <v>0</v>
      </c>
      <c r="I58" s="29">
        <v>0</v>
      </c>
      <c r="J58" s="30">
        <f>SUM('[1]FY 09-11 DD 1416 Tracker-Total'!AU70)</f>
        <v>0</v>
      </c>
      <c r="K58" s="36">
        <f>SUM(D58:J58)</f>
        <v>4492</v>
      </c>
    </row>
    <row r="59" spans="1:11" s="34" customFormat="1" ht="12.75">
      <c r="A59" s="31"/>
      <c r="B59" s="37" t="s">
        <v>57</v>
      </c>
      <c r="C59" s="33">
        <f aca="true" t="shared" si="14" ref="C59:K59">SUM(C58)</f>
        <v>4505</v>
      </c>
      <c r="D59" s="33">
        <f t="shared" si="14"/>
        <v>4505</v>
      </c>
      <c r="E59" s="33">
        <f t="shared" si="14"/>
        <v>-13</v>
      </c>
      <c r="F59" s="33">
        <f t="shared" si="14"/>
        <v>0</v>
      </c>
      <c r="G59" s="33">
        <f t="shared" si="14"/>
        <v>0</v>
      </c>
      <c r="H59" s="33">
        <f t="shared" si="14"/>
        <v>0</v>
      </c>
      <c r="I59" s="33">
        <f t="shared" si="14"/>
        <v>0</v>
      </c>
      <c r="J59" s="33">
        <f t="shared" si="14"/>
        <v>0</v>
      </c>
      <c r="K59" s="33">
        <f t="shared" si="14"/>
        <v>4492</v>
      </c>
    </row>
    <row r="60" spans="1:11" s="34" customFormat="1" ht="13.5" thickBot="1">
      <c r="A60" s="22"/>
      <c r="C60" s="44"/>
      <c r="D60" s="44"/>
      <c r="E60" s="44"/>
      <c r="F60" s="44"/>
      <c r="G60" s="44"/>
      <c r="H60" s="44"/>
      <c r="I60" s="45"/>
      <c r="J60" s="45"/>
      <c r="K60" s="44"/>
    </row>
    <row r="61" spans="1:11" s="49" customFormat="1" ht="13.5" thickBot="1">
      <c r="A61" s="46"/>
      <c r="B61" s="47" t="s">
        <v>58</v>
      </c>
      <c r="C61" s="48">
        <f>SUM(C9+C13+C26+C29+C32+C35+C38+C41+C44+C47+C50+C53+C56+C59)</f>
        <v>575166</v>
      </c>
      <c r="D61" s="48">
        <f aca="true" t="shared" si="15" ref="D61:K61">SUM(D9+D13+D26+D29+D32+D35+D38+D41+D44+D47+D50+D53+D56+D59)</f>
        <v>551414</v>
      </c>
      <c r="E61" s="48">
        <f t="shared" si="15"/>
        <v>-1625</v>
      </c>
      <c r="F61" s="48">
        <f t="shared" si="15"/>
        <v>0</v>
      </c>
      <c r="G61" s="48">
        <f t="shared" si="15"/>
        <v>0</v>
      </c>
      <c r="H61" s="48">
        <f t="shared" si="15"/>
        <v>0</v>
      </c>
      <c r="I61" s="48">
        <f t="shared" si="15"/>
        <v>-3461</v>
      </c>
      <c r="J61" s="48">
        <f t="shared" si="15"/>
        <v>0</v>
      </c>
      <c r="K61" s="48">
        <f t="shared" si="15"/>
        <v>546329</v>
      </c>
    </row>
    <row r="62" spans="1:11" ht="12.75">
      <c r="A62" s="50"/>
      <c r="B62" s="51"/>
      <c r="C62" s="27"/>
      <c r="D62" s="21"/>
      <c r="E62" s="28"/>
      <c r="F62" s="27"/>
      <c r="G62" s="28"/>
      <c r="H62" s="27"/>
      <c r="I62" s="29"/>
      <c r="J62" s="30"/>
      <c r="K62" s="21"/>
    </row>
    <row r="63" spans="1:13" ht="15">
      <c r="A63" s="22" t="s">
        <v>59</v>
      </c>
      <c r="B63" s="38" t="s">
        <v>60</v>
      </c>
      <c r="C63" s="27">
        <v>51950</v>
      </c>
      <c r="D63" s="21">
        <v>89350</v>
      </c>
      <c r="E63" s="28">
        <v>-153</v>
      </c>
      <c r="F63" s="27">
        <v>0</v>
      </c>
      <c r="G63" s="28">
        <v>0</v>
      </c>
      <c r="H63" s="27">
        <v>0</v>
      </c>
      <c r="I63" s="29">
        <v>0</v>
      </c>
      <c r="J63" s="30">
        <f>4194+2128-2678+450+890+10</f>
        <v>4994</v>
      </c>
      <c r="K63" s="36">
        <f>SUM(D63:J63)</f>
        <v>94191</v>
      </c>
      <c r="L63" s="6"/>
      <c r="M63" s="6"/>
    </row>
    <row r="64" spans="1:13" ht="15">
      <c r="A64" s="22"/>
      <c r="B64" s="38" t="s">
        <v>61</v>
      </c>
      <c r="C64" s="27">
        <v>63667</v>
      </c>
      <c r="D64" s="21">
        <v>63667</v>
      </c>
      <c r="E64" s="28">
        <v>-188</v>
      </c>
      <c r="F64" s="27">
        <v>0</v>
      </c>
      <c r="G64" s="28">
        <v>0</v>
      </c>
      <c r="H64" s="27">
        <v>0</v>
      </c>
      <c r="I64" s="29">
        <v>366</v>
      </c>
      <c r="J64" s="30">
        <f>11201-2128+2527</f>
        <v>11600</v>
      </c>
      <c r="K64" s="36">
        <f aca="true" t="shared" si="16" ref="K64:K98">SUM(D64:J64)</f>
        <v>75445</v>
      </c>
      <c r="L64" s="6"/>
      <c r="M64" s="6"/>
    </row>
    <row r="65" spans="1:13" ht="15">
      <c r="A65" s="22"/>
      <c r="B65" s="38" t="s">
        <v>62</v>
      </c>
      <c r="C65" s="27">
        <v>98163</v>
      </c>
      <c r="D65" s="21">
        <v>98163</v>
      </c>
      <c r="E65" s="28">
        <v>-400</v>
      </c>
      <c r="F65" s="27">
        <v>0</v>
      </c>
      <c r="G65" s="28">
        <v>0</v>
      </c>
      <c r="H65" s="27">
        <v>0</v>
      </c>
      <c r="I65" s="29">
        <v>0</v>
      </c>
      <c r="J65" s="30">
        <v>-1800</v>
      </c>
      <c r="K65" s="36">
        <f t="shared" si="16"/>
        <v>95963</v>
      </c>
      <c r="L65" s="6"/>
      <c r="M65" s="6"/>
    </row>
    <row r="66" spans="1:13" ht="15">
      <c r="A66" s="22"/>
      <c r="B66" s="38" t="s">
        <v>63</v>
      </c>
      <c r="C66" s="27">
        <v>39172</v>
      </c>
      <c r="D66" s="21">
        <v>39172</v>
      </c>
      <c r="E66" s="28">
        <v>-116</v>
      </c>
      <c r="F66" s="27">
        <v>0</v>
      </c>
      <c r="G66" s="28">
        <v>0</v>
      </c>
      <c r="H66" s="27">
        <v>0</v>
      </c>
      <c r="I66" s="29">
        <v>0</v>
      </c>
      <c r="J66" s="30">
        <v>10740</v>
      </c>
      <c r="K66" s="36">
        <f t="shared" si="16"/>
        <v>49796</v>
      </c>
      <c r="L66" s="6"/>
      <c r="M66" s="6"/>
    </row>
    <row r="67" spans="1:13" ht="15">
      <c r="A67" s="22"/>
      <c r="B67" s="38" t="s">
        <v>64</v>
      </c>
      <c r="C67" s="27">
        <v>36286</v>
      </c>
      <c r="D67" s="21">
        <v>11286</v>
      </c>
      <c r="E67" s="28">
        <v>-33</v>
      </c>
      <c r="F67" s="27">
        <v>0</v>
      </c>
      <c r="G67" s="28">
        <v>0</v>
      </c>
      <c r="H67" s="27">
        <v>0</v>
      </c>
      <c r="I67" s="29">
        <v>0</v>
      </c>
      <c r="J67" s="30">
        <f>-847-2-1</f>
        <v>-850</v>
      </c>
      <c r="K67" s="36">
        <f t="shared" si="16"/>
        <v>10403</v>
      </c>
      <c r="L67" s="6"/>
      <c r="M67" s="6"/>
    </row>
    <row r="68" spans="1:13" ht="15">
      <c r="A68" s="22"/>
      <c r="B68" s="38" t="s">
        <v>65</v>
      </c>
      <c r="C68" s="27">
        <v>7659</v>
      </c>
      <c r="D68" s="21">
        <v>7659</v>
      </c>
      <c r="E68" s="28">
        <v>-23</v>
      </c>
      <c r="F68" s="27">
        <v>0</v>
      </c>
      <c r="G68" s="28">
        <v>0</v>
      </c>
      <c r="H68" s="27">
        <v>0</v>
      </c>
      <c r="I68" s="29">
        <v>0</v>
      </c>
      <c r="J68" s="30">
        <v>0</v>
      </c>
      <c r="K68" s="36">
        <f t="shared" si="16"/>
        <v>7636</v>
      </c>
      <c r="L68" s="6"/>
      <c r="M68" s="6"/>
    </row>
    <row r="69" spans="1:13" ht="15">
      <c r="A69" s="22"/>
      <c r="B69" s="38" t="s">
        <v>66</v>
      </c>
      <c r="C69" s="27">
        <v>162971</v>
      </c>
      <c r="D69" s="21">
        <v>162971</v>
      </c>
      <c r="E69" s="28">
        <v>-481</v>
      </c>
      <c r="F69" s="27">
        <v>0</v>
      </c>
      <c r="G69" s="28">
        <v>0</v>
      </c>
      <c r="H69" s="27">
        <v>0</v>
      </c>
      <c r="I69" s="29">
        <v>0</v>
      </c>
      <c r="J69" s="30">
        <f>-7460-30</f>
        <v>-7490</v>
      </c>
      <c r="K69" s="36">
        <f t="shared" si="16"/>
        <v>155000</v>
      </c>
      <c r="L69" s="6"/>
      <c r="M69" s="6"/>
    </row>
    <row r="70" spans="1:13" ht="15">
      <c r="A70" s="22"/>
      <c r="B70" s="38" t="s">
        <v>67</v>
      </c>
      <c r="C70" s="27">
        <v>47018</v>
      </c>
      <c r="D70" s="21">
        <v>33277</v>
      </c>
      <c r="E70" s="28">
        <v>-98</v>
      </c>
      <c r="F70" s="27">
        <v>0</v>
      </c>
      <c r="G70" s="28">
        <v>17000</v>
      </c>
      <c r="H70" s="27">
        <v>0</v>
      </c>
      <c r="I70" s="29">
        <v>141300</v>
      </c>
      <c r="J70" s="30">
        <f>-2392+31+847-992-235</f>
        <v>-2741</v>
      </c>
      <c r="K70" s="36">
        <f t="shared" si="16"/>
        <v>188738</v>
      </c>
      <c r="L70" s="6"/>
      <c r="M70" s="6"/>
    </row>
    <row r="71" spans="1:13" ht="15">
      <c r="A71" s="22"/>
      <c r="B71" s="38" t="s">
        <v>68</v>
      </c>
      <c r="C71" s="27">
        <v>1347</v>
      </c>
      <c r="D71" s="21">
        <v>1347</v>
      </c>
      <c r="E71" s="28">
        <v>-4</v>
      </c>
      <c r="F71" s="27">
        <v>0</v>
      </c>
      <c r="G71" s="28">
        <v>0</v>
      </c>
      <c r="H71" s="27">
        <v>0</v>
      </c>
      <c r="I71" s="29">
        <v>-818</v>
      </c>
      <c r="J71" s="30">
        <f>-237-31+303</f>
        <v>35</v>
      </c>
      <c r="K71" s="36">
        <f t="shared" si="16"/>
        <v>560</v>
      </c>
      <c r="L71" s="6"/>
      <c r="M71" s="6"/>
    </row>
    <row r="72" spans="1:13" ht="15">
      <c r="A72" s="22"/>
      <c r="B72" s="38" t="s">
        <v>69</v>
      </c>
      <c r="C72" s="27">
        <v>5760</v>
      </c>
      <c r="D72" s="21">
        <v>5760</v>
      </c>
      <c r="E72" s="28">
        <v>-17</v>
      </c>
      <c r="F72" s="27">
        <v>0</v>
      </c>
      <c r="G72" s="28">
        <v>-5200</v>
      </c>
      <c r="H72" s="27">
        <v>0</v>
      </c>
      <c r="I72" s="29">
        <v>0</v>
      </c>
      <c r="J72" s="30">
        <f>0-108-303</f>
        <v>-411</v>
      </c>
      <c r="K72" s="36">
        <f t="shared" si="16"/>
        <v>132</v>
      </c>
      <c r="L72" s="52"/>
      <c r="M72" s="6"/>
    </row>
    <row r="73" spans="1:13" ht="15">
      <c r="A73" s="22"/>
      <c r="B73" s="38" t="s">
        <v>70</v>
      </c>
      <c r="C73" s="27">
        <v>7061</v>
      </c>
      <c r="D73" s="21">
        <v>7061</v>
      </c>
      <c r="E73" s="28">
        <v>-21</v>
      </c>
      <c r="F73" s="27">
        <v>0</v>
      </c>
      <c r="G73" s="28">
        <v>0</v>
      </c>
      <c r="H73" s="27">
        <v>0</v>
      </c>
      <c r="I73" s="29">
        <v>303</v>
      </c>
      <c r="J73" s="30">
        <f>0+108</f>
        <v>108</v>
      </c>
      <c r="K73" s="36">
        <f t="shared" si="16"/>
        <v>7451</v>
      </c>
      <c r="L73" s="6"/>
      <c r="M73" s="6"/>
    </row>
    <row r="74" spans="1:13" ht="15">
      <c r="A74" s="22"/>
      <c r="B74" s="38" t="s">
        <v>71</v>
      </c>
      <c r="C74" s="27">
        <v>67083</v>
      </c>
      <c r="D74" s="21">
        <v>67083</v>
      </c>
      <c r="E74" s="28">
        <v>-198</v>
      </c>
      <c r="F74" s="27">
        <v>0</v>
      </c>
      <c r="G74" s="28">
        <f>43640+1000</f>
        <v>44640</v>
      </c>
      <c r="H74" s="27">
        <v>0</v>
      </c>
      <c r="I74" s="29">
        <v>0</v>
      </c>
      <c r="J74" s="30">
        <f>-5924-4</f>
        <v>-5928</v>
      </c>
      <c r="K74" s="36">
        <f t="shared" si="16"/>
        <v>105597</v>
      </c>
      <c r="L74" s="6"/>
      <c r="M74" s="6"/>
    </row>
    <row r="75" spans="1:13" ht="15">
      <c r="A75" s="22"/>
      <c r="B75" s="38" t="s">
        <v>72</v>
      </c>
      <c r="C75" s="27">
        <v>5540</v>
      </c>
      <c r="D75" s="21">
        <v>12540</v>
      </c>
      <c r="E75" s="28">
        <v>-37</v>
      </c>
      <c r="F75" s="27">
        <v>0</v>
      </c>
      <c r="G75" s="28">
        <v>0</v>
      </c>
      <c r="H75" s="27">
        <v>0</v>
      </c>
      <c r="I75" s="29">
        <v>0</v>
      </c>
      <c r="J75" s="30">
        <f>7051-1114</f>
        <v>5937</v>
      </c>
      <c r="K75" s="36">
        <f t="shared" si="16"/>
        <v>18440</v>
      </c>
      <c r="L75" s="6"/>
      <c r="M75" s="6"/>
    </row>
    <row r="76" spans="1:13" ht="15">
      <c r="A76" s="22"/>
      <c r="B76" s="38" t="s">
        <v>73</v>
      </c>
      <c r="C76" s="27">
        <v>67220</v>
      </c>
      <c r="D76" s="21">
        <v>73220</v>
      </c>
      <c r="E76" s="28">
        <v>-216</v>
      </c>
      <c r="F76" s="27">
        <v>0</v>
      </c>
      <c r="G76" s="28">
        <v>3100</v>
      </c>
      <c r="H76" s="27">
        <v>0</v>
      </c>
      <c r="I76" s="29">
        <v>1393</v>
      </c>
      <c r="J76" s="30">
        <f>7058-120-15</f>
        <v>6923</v>
      </c>
      <c r="K76" s="36">
        <f t="shared" si="16"/>
        <v>84420</v>
      </c>
      <c r="L76" s="6"/>
      <c r="M76" s="6"/>
    </row>
    <row r="77" spans="1:13" ht="15">
      <c r="A77" s="22"/>
      <c r="B77" s="38" t="s">
        <v>74</v>
      </c>
      <c r="C77" s="27">
        <v>54122</v>
      </c>
      <c r="D77" s="21">
        <v>56122</v>
      </c>
      <c r="E77" s="28">
        <v>-165</v>
      </c>
      <c r="F77" s="27">
        <v>0</v>
      </c>
      <c r="G77" s="28">
        <v>8100</v>
      </c>
      <c r="H77" s="27">
        <v>0</v>
      </c>
      <c r="I77" s="29">
        <v>360</v>
      </c>
      <c r="J77" s="30">
        <f>2391+833-1</f>
        <v>3223</v>
      </c>
      <c r="K77" s="36">
        <f t="shared" si="16"/>
        <v>67640</v>
      </c>
      <c r="L77" s="6"/>
      <c r="M77" s="6"/>
    </row>
    <row r="78" spans="1:13" ht="15">
      <c r="A78" s="22"/>
      <c r="B78" s="38" t="s">
        <v>75</v>
      </c>
      <c r="C78" s="27">
        <v>15689</v>
      </c>
      <c r="D78" s="21">
        <v>23489</v>
      </c>
      <c r="E78" s="28">
        <v>-69</v>
      </c>
      <c r="F78" s="27">
        <v>0</v>
      </c>
      <c r="G78" s="28">
        <v>16250</v>
      </c>
      <c r="H78" s="27">
        <v>0</v>
      </c>
      <c r="I78" s="29">
        <v>0</v>
      </c>
      <c r="J78" s="30">
        <f>-103-16250+16250-16250</f>
        <v>-16353</v>
      </c>
      <c r="K78" s="36">
        <f t="shared" si="16"/>
        <v>23317</v>
      </c>
      <c r="L78" s="6"/>
      <c r="M78" s="6"/>
    </row>
    <row r="79" spans="1:13" ht="15">
      <c r="A79" s="22"/>
      <c r="B79" s="38" t="s">
        <v>76</v>
      </c>
      <c r="C79" s="27">
        <v>1265</v>
      </c>
      <c r="D79" s="21">
        <v>1265</v>
      </c>
      <c r="E79" s="28">
        <v>-4</v>
      </c>
      <c r="F79" s="27">
        <v>0</v>
      </c>
      <c r="G79" s="28">
        <v>0</v>
      </c>
      <c r="H79" s="27">
        <v>0</v>
      </c>
      <c r="I79" s="29">
        <v>0</v>
      </c>
      <c r="J79" s="30">
        <f>0+16</f>
        <v>16</v>
      </c>
      <c r="K79" s="36">
        <f t="shared" si="16"/>
        <v>1277</v>
      </c>
      <c r="L79" s="6"/>
      <c r="M79" s="6"/>
    </row>
    <row r="80" spans="1:13" ht="15">
      <c r="A80" s="22"/>
      <c r="B80" s="38" t="s">
        <v>77</v>
      </c>
      <c r="C80" s="27">
        <v>12484</v>
      </c>
      <c r="D80" s="21">
        <v>12484</v>
      </c>
      <c r="E80" s="28">
        <v>-37</v>
      </c>
      <c r="F80" s="27">
        <v>0</v>
      </c>
      <c r="G80" s="28">
        <v>0</v>
      </c>
      <c r="H80" s="27">
        <v>0</v>
      </c>
      <c r="I80" s="29">
        <v>0</v>
      </c>
      <c r="J80" s="30">
        <v>0</v>
      </c>
      <c r="K80" s="36">
        <f t="shared" si="16"/>
        <v>12447</v>
      </c>
      <c r="L80" s="6"/>
      <c r="M80" s="6"/>
    </row>
    <row r="81" spans="1:13" ht="15">
      <c r="A81" s="22"/>
      <c r="B81" s="38" t="s">
        <v>78</v>
      </c>
      <c r="C81" s="27">
        <v>18795</v>
      </c>
      <c r="D81" s="21">
        <v>21675</v>
      </c>
      <c r="E81" s="28">
        <v>-64</v>
      </c>
      <c r="F81" s="27">
        <v>0</v>
      </c>
      <c r="G81" s="28">
        <v>0</v>
      </c>
      <c r="H81" s="27">
        <v>0</v>
      </c>
      <c r="I81" s="29">
        <v>0</v>
      </c>
      <c r="J81" s="30">
        <f>-495-8-16-7</f>
        <v>-526</v>
      </c>
      <c r="K81" s="36">
        <f t="shared" si="16"/>
        <v>21085</v>
      </c>
      <c r="L81" s="6"/>
      <c r="M81" s="6"/>
    </row>
    <row r="82" spans="1:13" ht="15">
      <c r="A82" s="22"/>
      <c r="B82" s="38" t="s">
        <v>79</v>
      </c>
      <c r="C82" s="27">
        <v>3272</v>
      </c>
      <c r="D82" s="21">
        <v>3272</v>
      </c>
      <c r="E82" s="28">
        <v>-10</v>
      </c>
      <c r="F82" s="27">
        <v>0</v>
      </c>
      <c r="G82" s="28">
        <v>0</v>
      </c>
      <c r="H82" s="27">
        <v>0</v>
      </c>
      <c r="I82" s="29">
        <v>-1365</v>
      </c>
      <c r="J82" s="30">
        <f>-651</f>
        <v>-651</v>
      </c>
      <c r="K82" s="36">
        <f t="shared" si="16"/>
        <v>1246</v>
      </c>
      <c r="L82" s="6"/>
      <c r="M82" s="6"/>
    </row>
    <row r="83" spans="1:13" ht="15">
      <c r="A83" s="22"/>
      <c r="B83" s="38" t="s">
        <v>80</v>
      </c>
      <c r="C83" s="27">
        <v>3702</v>
      </c>
      <c r="D83" s="21">
        <v>3702</v>
      </c>
      <c r="E83" s="28">
        <v>-11</v>
      </c>
      <c r="F83" s="27">
        <v>0</v>
      </c>
      <c r="G83" s="28">
        <v>-6400</v>
      </c>
      <c r="H83" s="27">
        <v>0</v>
      </c>
      <c r="I83" s="29">
        <f>17000+142000</f>
        <v>159000</v>
      </c>
      <c r="J83" s="30">
        <f>900+6400-6400+6400-7</f>
        <v>7293</v>
      </c>
      <c r="K83" s="36">
        <f t="shared" si="16"/>
        <v>163584</v>
      </c>
      <c r="L83" s="6"/>
      <c r="M83" s="6"/>
    </row>
    <row r="84" spans="1:13" ht="15">
      <c r="A84" s="22"/>
      <c r="B84" s="38" t="s">
        <v>81</v>
      </c>
      <c r="C84" s="27">
        <v>34151</v>
      </c>
      <c r="D84" s="21">
        <v>36151</v>
      </c>
      <c r="E84" s="28">
        <v>-107</v>
      </c>
      <c r="F84" s="27">
        <v>0</v>
      </c>
      <c r="G84" s="28">
        <v>0</v>
      </c>
      <c r="H84" s="27">
        <v>0</v>
      </c>
      <c r="I84" s="29">
        <v>155</v>
      </c>
      <c r="J84" s="30">
        <f>0+160+183-90</f>
        <v>253</v>
      </c>
      <c r="K84" s="36">
        <f t="shared" si="16"/>
        <v>36452</v>
      </c>
      <c r="L84" s="6"/>
      <c r="M84" s="6"/>
    </row>
    <row r="85" spans="1:13" ht="15">
      <c r="A85" s="22"/>
      <c r="B85" s="38" t="s">
        <v>82</v>
      </c>
      <c r="C85" s="27">
        <v>21593</v>
      </c>
      <c r="D85" s="21">
        <v>20000</v>
      </c>
      <c r="E85" s="28">
        <v>-59</v>
      </c>
      <c r="F85" s="27">
        <v>0</v>
      </c>
      <c r="G85" s="28">
        <v>0</v>
      </c>
      <c r="H85" s="27">
        <v>0</v>
      </c>
      <c r="I85" s="29">
        <v>0</v>
      </c>
      <c r="J85" s="30">
        <v>1059</v>
      </c>
      <c r="K85" s="36">
        <f t="shared" si="16"/>
        <v>21000</v>
      </c>
      <c r="L85" s="6"/>
      <c r="M85" s="6"/>
    </row>
    <row r="86" spans="1:13" ht="15">
      <c r="A86" s="22"/>
      <c r="B86" s="38" t="s">
        <v>83</v>
      </c>
      <c r="C86" s="27">
        <v>11722</v>
      </c>
      <c r="D86" s="21">
        <v>11722</v>
      </c>
      <c r="E86" s="28">
        <v>-35</v>
      </c>
      <c r="F86" s="27">
        <v>0</v>
      </c>
      <c r="G86" s="28">
        <v>0</v>
      </c>
      <c r="H86" s="27">
        <v>0</v>
      </c>
      <c r="I86" s="29">
        <v>0</v>
      </c>
      <c r="J86" s="30">
        <f>-2337+120+23</f>
        <v>-2194</v>
      </c>
      <c r="K86" s="36">
        <f t="shared" si="16"/>
        <v>9493</v>
      </c>
      <c r="L86" s="6"/>
      <c r="M86" s="6"/>
    </row>
    <row r="87" spans="1:13" ht="15">
      <c r="A87" s="22"/>
      <c r="B87" s="38" t="s">
        <v>84</v>
      </c>
      <c r="C87" s="27">
        <v>27194</v>
      </c>
      <c r="D87" s="21">
        <v>55561</v>
      </c>
      <c r="E87" s="28">
        <v>-164</v>
      </c>
      <c r="F87" s="27">
        <v>0</v>
      </c>
      <c r="G87" s="28">
        <v>0</v>
      </c>
      <c r="H87" s="27">
        <v>0</v>
      </c>
      <c r="I87" s="29">
        <v>-48</v>
      </c>
      <c r="J87" s="30">
        <f>0-6400+6400-6400+1+10</f>
        <v>-6389</v>
      </c>
      <c r="K87" s="36">
        <f t="shared" si="16"/>
        <v>48960</v>
      </c>
      <c r="L87" s="6"/>
      <c r="M87" s="6"/>
    </row>
    <row r="88" spans="1:13" ht="15">
      <c r="A88" s="22"/>
      <c r="B88" s="38" t="s">
        <v>85</v>
      </c>
      <c r="C88" s="27">
        <v>55248</v>
      </c>
      <c r="D88" s="21">
        <v>55248</v>
      </c>
      <c r="E88" s="28">
        <v>-163</v>
      </c>
      <c r="F88" s="27">
        <v>0</v>
      </c>
      <c r="G88" s="28">
        <v>0</v>
      </c>
      <c r="H88" s="27">
        <v>0</v>
      </c>
      <c r="I88" s="29">
        <v>0</v>
      </c>
      <c r="J88" s="53">
        <f>551-205+200</f>
        <v>546</v>
      </c>
      <c r="K88" s="36">
        <f t="shared" si="16"/>
        <v>55631</v>
      </c>
      <c r="L88" s="6"/>
      <c r="M88" s="6"/>
    </row>
    <row r="89" spans="1:13" ht="15">
      <c r="A89" s="22"/>
      <c r="B89" s="39" t="s">
        <v>86</v>
      </c>
      <c r="C89" s="27">
        <v>15862</v>
      </c>
      <c r="D89" s="21">
        <v>15862</v>
      </c>
      <c r="E89" s="28">
        <v>-47</v>
      </c>
      <c r="F89" s="27">
        <v>0</v>
      </c>
      <c r="G89" s="28">
        <v>0</v>
      </c>
      <c r="H89" s="27">
        <v>0</v>
      </c>
      <c r="I89" s="29">
        <v>0</v>
      </c>
      <c r="J89" s="30">
        <v>-830</v>
      </c>
      <c r="K89" s="36">
        <f>SUM(D89:J89)</f>
        <v>14985</v>
      </c>
      <c r="L89" s="6"/>
      <c r="M89" s="6"/>
    </row>
    <row r="90" spans="1:13" ht="15">
      <c r="A90" s="22"/>
      <c r="B90" s="38" t="s">
        <v>87</v>
      </c>
      <c r="C90" s="27">
        <v>25892</v>
      </c>
      <c r="D90" s="21">
        <v>25892</v>
      </c>
      <c r="E90" s="28">
        <v>-76</v>
      </c>
      <c r="F90" s="27">
        <v>0</v>
      </c>
      <c r="G90" s="28">
        <v>33750</v>
      </c>
      <c r="H90" s="27">
        <v>0</v>
      </c>
      <c r="I90" s="29">
        <v>0</v>
      </c>
      <c r="J90" s="30">
        <f>0+5000</f>
        <v>5000</v>
      </c>
      <c r="K90" s="36">
        <f>SUM(D90:J90)</f>
        <v>64566</v>
      </c>
      <c r="L90" s="6"/>
      <c r="M90" s="6"/>
    </row>
    <row r="91" spans="1:13" ht="15">
      <c r="A91" s="22"/>
      <c r="B91" s="39" t="s">
        <v>88</v>
      </c>
      <c r="C91" s="27">
        <v>15455</v>
      </c>
      <c r="D91" s="21">
        <v>19455</v>
      </c>
      <c r="E91" s="28">
        <v>-57</v>
      </c>
      <c r="F91" s="27">
        <v>0</v>
      </c>
      <c r="G91" s="28">
        <v>0</v>
      </c>
      <c r="H91" s="27">
        <v>0</v>
      </c>
      <c r="I91" s="29">
        <v>0</v>
      </c>
      <c r="J91" s="30">
        <f>-3917+16250-16250+16250</f>
        <v>12333</v>
      </c>
      <c r="K91" s="36">
        <f>SUM(D91:J91)</f>
        <v>31731</v>
      </c>
      <c r="L91" s="6"/>
      <c r="M91" s="6"/>
    </row>
    <row r="92" spans="1:13" ht="15">
      <c r="A92" s="22"/>
      <c r="B92" s="39" t="s">
        <v>89</v>
      </c>
      <c r="C92" s="27">
        <v>30201</v>
      </c>
      <c r="D92" s="21">
        <v>25351</v>
      </c>
      <c r="E92" s="28">
        <v>-75</v>
      </c>
      <c r="F92" s="27">
        <v>0</v>
      </c>
      <c r="G92" s="28">
        <v>0</v>
      </c>
      <c r="H92" s="27">
        <v>0</v>
      </c>
      <c r="I92" s="29">
        <v>0</v>
      </c>
      <c r="J92" s="30">
        <f>104-67</f>
        <v>37</v>
      </c>
      <c r="K92" s="36">
        <f>SUM(D92:J92)</f>
        <v>25313</v>
      </c>
      <c r="L92" s="6"/>
      <c r="M92" s="6"/>
    </row>
    <row r="93" spans="1:13" ht="15">
      <c r="A93" s="22"/>
      <c r="B93" s="39" t="s">
        <v>90</v>
      </c>
      <c r="C93" s="27">
        <v>33966</v>
      </c>
      <c r="D93" s="21">
        <v>23566</v>
      </c>
      <c r="E93" s="28">
        <v>-69</v>
      </c>
      <c r="F93" s="27">
        <v>0</v>
      </c>
      <c r="G93" s="28">
        <v>0</v>
      </c>
      <c r="H93" s="27">
        <v>0</v>
      </c>
      <c r="I93" s="29">
        <v>11162</v>
      </c>
      <c r="J93" s="30">
        <f>-3686-3</f>
        <v>-3689</v>
      </c>
      <c r="K93" s="36">
        <f>SUM(D93:J93)</f>
        <v>30970</v>
      </c>
      <c r="L93" s="6"/>
      <c r="M93" s="6"/>
    </row>
    <row r="94" spans="1:13" ht="15">
      <c r="A94" s="22"/>
      <c r="B94" s="39" t="s">
        <v>91</v>
      </c>
      <c r="C94" s="27">
        <v>13450</v>
      </c>
      <c r="D94" s="21">
        <v>13450</v>
      </c>
      <c r="E94" s="28">
        <v>-40</v>
      </c>
      <c r="F94" s="27">
        <v>0</v>
      </c>
      <c r="G94" s="28">
        <v>0</v>
      </c>
      <c r="H94" s="27">
        <v>0</v>
      </c>
      <c r="I94" s="29">
        <v>0</v>
      </c>
      <c r="J94" s="30">
        <v>0</v>
      </c>
      <c r="K94" s="36">
        <f t="shared" si="16"/>
        <v>13410</v>
      </c>
      <c r="L94" s="6"/>
      <c r="M94" s="6"/>
    </row>
    <row r="95" spans="1:13" ht="15">
      <c r="A95" s="22"/>
      <c r="B95" s="39" t="s">
        <v>92</v>
      </c>
      <c r="C95" s="27">
        <v>15331</v>
      </c>
      <c r="D95" s="21">
        <v>15331</v>
      </c>
      <c r="E95" s="28">
        <v>-45</v>
      </c>
      <c r="F95" s="27">
        <v>0</v>
      </c>
      <c r="G95" s="28">
        <v>0</v>
      </c>
      <c r="H95" s="27">
        <v>0</v>
      </c>
      <c r="I95" s="29">
        <v>0</v>
      </c>
      <c r="J95" s="30">
        <f>-3014+8</f>
        <v>-3006</v>
      </c>
      <c r="K95" s="36">
        <f t="shared" si="16"/>
        <v>12280</v>
      </c>
      <c r="L95" s="6"/>
      <c r="M95" s="6"/>
    </row>
    <row r="96" spans="1:13" ht="15">
      <c r="A96" s="22"/>
      <c r="B96" s="39" t="s">
        <v>93</v>
      </c>
      <c r="C96" s="27">
        <v>315443</v>
      </c>
      <c r="D96" s="21">
        <v>319443</v>
      </c>
      <c r="E96" s="28">
        <v>-941</v>
      </c>
      <c r="F96" s="27">
        <v>0</v>
      </c>
      <c r="G96" s="28">
        <v>1797</v>
      </c>
      <c r="H96" s="27">
        <v>0</v>
      </c>
      <c r="I96" s="29">
        <v>1549</v>
      </c>
      <c r="J96" s="30">
        <f>-7042-4999+830+151+315</f>
        <v>-10745</v>
      </c>
      <c r="K96" s="36">
        <f t="shared" si="16"/>
        <v>311103</v>
      </c>
      <c r="L96" s="6"/>
      <c r="M96" s="6"/>
    </row>
    <row r="97" spans="1:13" ht="15">
      <c r="A97" s="22"/>
      <c r="B97" s="39" t="s">
        <v>94</v>
      </c>
      <c r="C97" s="27">
        <v>64778</v>
      </c>
      <c r="D97" s="21">
        <v>55778</v>
      </c>
      <c r="E97" s="28">
        <v>-164</v>
      </c>
      <c r="F97" s="27">
        <v>0</v>
      </c>
      <c r="G97" s="28">
        <v>0</v>
      </c>
      <c r="H97" s="27">
        <v>0</v>
      </c>
      <c r="I97" s="29">
        <v>-18662</v>
      </c>
      <c r="J97" s="30">
        <f>-5928-196-450+101</f>
        <v>-6473</v>
      </c>
      <c r="K97" s="36">
        <f t="shared" si="16"/>
        <v>30479</v>
      </c>
      <c r="L97" s="6"/>
      <c r="M97" s="6"/>
    </row>
    <row r="98" spans="1:13" ht="13.5" thickBot="1">
      <c r="A98" s="22"/>
      <c r="B98" s="18" t="s">
        <v>95</v>
      </c>
      <c r="C98" s="27">
        <v>0</v>
      </c>
      <c r="D98" s="21">
        <v>0</v>
      </c>
      <c r="E98" s="28">
        <v>0</v>
      </c>
      <c r="F98" s="27">
        <v>0</v>
      </c>
      <c r="G98" s="28">
        <v>0</v>
      </c>
      <c r="H98" s="27">
        <v>0</v>
      </c>
      <c r="I98" s="29">
        <f>2407+124+548</f>
        <v>3079</v>
      </c>
      <c r="J98" s="30">
        <v>0</v>
      </c>
      <c r="K98" s="36">
        <f t="shared" si="16"/>
        <v>3079</v>
      </c>
      <c r="L98" s="6"/>
      <c r="M98" s="6"/>
    </row>
    <row r="99" spans="1:13" s="34" customFormat="1" ht="13.5" thickBot="1">
      <c r="A99" s="54"/>
      <c r="B99" s="55" t="s">
        <v>96</v>
      </c>
      <c r="C99" s="48">
        <f aca="true" t="shared" si="17" ref="C99:K99">SUM(C63:C98)</f>
        <v>1450512</v>
      </c>
      <c r="D99" s="48">
        <f t="shared" si="17"/>
        <v>1487375</v>
      </c>
      <c r="E99" s="48">
        <f t="shared" si="17"/>
        <v>-4387</v>
      </c>
      <c r="F99" s="48">
        <f t="shared" si="17"/>
        <v>0</v>
      </c>
      <c r="G99" s="48">
        <f t="shared" si="17"/>
        <v>113037</v>
      </c>
      <c r="H99" s="48">
        <f t="shared" si="17"/>
        <v>0</v>
      </c>
      <c r="I99" s="48">
        <f t="shared" si="17"/>
        <v>297774</v>
      </c>
      <c r="J99" s="48">
        <f>SUM(J63:J98)-21</f>
        <v>0</v>
      </c>
      <c r="K99" s="48">
        <f t="shared" si="17"/>
        <v>1893820</v>
      </c>
      <c r="L99" s="56"/>
      <c r="M99" s="56"/>
    </row>
    <row r="100" spans="1:11" ht="12.75">
      <c r="A100" s="57"/>
      <c r="B100" s="58"/>
      <c r="C100" s="27"/>
      <c r="D100" s="21"/>
      <c r="E100" s="28"/>
      <c r="F100" s="27"/>
      <c r="G100" s="28"/>
      <c r="H100" s="27"/>
      <c r="I100" s="29"/>
      <c r="J100" s="30"/>
      <c r="K100" s="21"/>
    </row>
    <row r="101" spans="1:11" ht="15">
      <c r="A101" s="57" t="s">
        <v>97</v>
      </c>
      <c r="B101" s="38" t="s">
        <v>98</v>
      </c>
      <c r="C101" s="27">
        <v>88565</v>
      </c>
      <c r="D101" s="21">
        <v>88565</v>
      </c>
      <c r="E101" s="28">
        <v>-261</v>
      </c>
      <c r="F101" s="27">
        <v>0</v>
      </c>
      <c r="G101" s="27">
        <v>0</v>
      </c>
      <c r="H101" s="27">
        <v>0</v>
      </c>
      <c r="I101" s="27">
        <v>0</v>
      </c>
      <c r="J101" s="30">
        <v>99</v>
      </c>
      <c r="K101" s="21">
        <f aca="true" t="shared" si="18" ref="K101:K106">SUM(D101:J101)</f>
        <v>88403</v>
      </c>
    </row>
    <row r="102" spans="1:11" ht="15">
      <c r="A102" s="57"/>
      <c r="B102" s="38" t="s">
        <v>99</v>
      </c>
      <c r="C102" s="27">
        <v>80211</v>
      </c>
      <c r="D102" s="21">
        <v>80211</v>
      </c>
      <c r="E102" s="28">
        <v>-237</v>
      </c>
      <c r="F102" s="27">
        <v>0</v>
      </c>
      <c r="G102" s="27">
        <v>0</v>
      </c>
      <c r="H102" s="27">
        <v>0</v>
      </c>
      <c r="I102" s="27">
        <v>0</v>
      </c>
      <c r="J102" s="30">
        <v>-99</v>
      </c>
      <c r="K102" s="21">
        <f t="shared" si="18"/>
        <v>79875</v>
      </c>
    </row>
    <row r="103" spans="1:11" ht="15">
      <c r="A103" s="57"/>
      <c r="B103" s="38" t="s">
        <v>100</v>
      </c>
      <c r="C103" s="27">
        <v>22299</v>
      </c>
      <c r="D103" s="21">
        <v>25579</v>
      </c>
      <c r="E103" s="28">
        <v>-75</v>
      </c>
      <c r="F103" s="27">
        <v>0</v>
      </c>
      <c r="G103" s="27">
        <v>0</v>
      </c>
      <c r="H103" s="27">
        <v>0</v>
      </c>
      <c r="I103" s="27">
        <v>0</v>
      </c>
      <c r="J103" s="30">
        <v>-5100</v>
      </c>
      <c r="K103" s="21">
        <f t="shared" si="18"/>
        <v>20404</v>
      </c>
    </row>
    <row r="104" spans="1:11" ht="15">
      <c r="A104" s="57"/>
      <c r="B104" s="38" t="s">
        <v>101</v>
      </c>
      <c r="C104" s="27">
        <v>38702</v>
      </c>
      <c r="D104" s="21">
        <v>38702</v>
      </c>
      <c r="E104" s="28">
        <v>-114</v>
      </c>
      <c r="F104" s="27">
        <v>0</v>
      </c>
      <c r="G104" s="27">
        <v>0</v>
      </c>
      <c r="H104" s="27">
        <v>0</v>
      </c>
      <c r="I104" s="27">
        <v>0</v>
      </c>
      <c r="J104" s="30">
        <v>0</v>
      </c>
      <c r="K104" s="21">
        <f t="shared" si="18"/>
        <v>38588</v>
      </c>
    </row>
    <row r="105" spans="1:11" ht="15">
      <c r="A105" s="57"/>
      <c r="B105" s="38" t="s">
        <v>102</v>
      </c>
      <c r="C105" s="27">
        <v>37784</v>
      </c>
      <c r="D105" s="21">
        <v>37784</v>
      </c>
      <c r="E105" s="28">
        <v>-111</v>
      </c>
      <c r="F105" s="27">
        <v>0</v>
      </c>
      <c r="G105" s="27">
        <v>0</v>
      </c>
      <c r="H105" s="27">
        <v>0</v>
      </c>
      <c r="I105" s="27">
        <v>0</v>
      </c>
      <c r="J105" s="30">
        <v>0</v>
      </c>
      <c r="K105" s="21">
        <f t="shared" si="18"/>
        <v>37673</v>
      </c>
    </row>
    <row r="106" spans="1:11" ht="15.75" thickBot="1">
      <c r="A106" s="57"/>
      <c r="B106" s="38" t="s">
        <v>103</v>
      </c>
      <c r="C106" s="27">
        <v>199610</v>
      </c>
      <c r="D106" s="21">
        <v>186160</v>
      </c>
      <c r="E106" s="28">
        <v>-549</v>
      </c>
      <c r="F106" s="27">
        <v>0</v>
      </c>
      <c r="G106" s="27">
        <v>0</v>
      </c>
      <c r="H106" s="27">
        <v>0</v>
      </c>
      <c r="I106" s="27">
        <v>0</v>
      </c>
      <c r="J106" s="30">
        <v>5100</v>
      </c>
      <c r="K106" s="21">
        <f t="shared" si="18"/>
        <v>190711</v>
      </c>
    </row>
    <row r="107" spans="1:11" s="34" customFormat="1" ht="13.5" thickBot="1">
      <c r="A107" s="54"/>
      <c r="B107" s="55" t="s">
        <v>104</v>
      </c>
      <c r="C107" s="48">
        <f>SUM(C101:C106)</f>
        <v>467171</v>
      </c>
      <c r="D107" s="48">
        <f aca="true" t="shared" si="19" ref="D107:K107">SUM(D101:D106)</f>
        <v>457001</v>
      </c>
      <c r="E107" s="48">
        <f t="shared" si="19"/>
        <v>-1347</v>
      </c>
      <c r="F107" s="48">
        <f t="shared" si="19"/>
        <v>0</v>
      </c>
      <c r="G107" s="48">
        <f t="shared" si="19"/>
        <v>0</v>
      </c>
      <c r="H107" s="48">
        <f t="shared" si="19"/>
        <v>0</v>
      </c>
      <c r="I107" s="59">
        <f t="shared" si="19"/>
        <v>0</v>
      </c>
      <c r="J107" s="48">
        <f t="shared" si="19"/>
        <v>0</v>
      </c>
      <c r="K107" s="60">
        <f t="shared" si="19"/>
        <v>455654</v>
      </c>
    </row>
    <row r="108" spans="1:11" ht="12.75">
      <c r="A108" s="61"/>
      <c r="B108" s="62"/>
      <c r="C108" s="27"/>
      <c r="D108" s="16"/>
      <c r="E108" s="18"/>
      <c r="F108" s="24"/>
      <c r="G108" s="18"/>
      <c r="H108" s="24"/>
      <c r="I108" s="19"/>
      <c r="J108" s="25"/>
      <c r="K108" s="21"/>
    </row>
    <row r="109" spans="1:11" ht="15">
      <c r="A109" s="61" t="s">
        <v>105</v>
      </c>
      <c r="B109" s="38" t="s">
        <v>106</v>
      </c>
      <c r="C109" s="27">
        <v>0</v>
      </c>
      <c r="D109" s="21">
        <v>57100</v>
      </c>
      <c r="E109" s="28">
        <v>-168</v>
      </c>
      <c r="F109" s="27">
        <v>0</v>
      </c>
      <c r="G109" s="28">
        <v>0</v>
      </c>
      <c r="H109" s="27">
        <v>0</v>
      </c>
      <c r="I109" s="28">
        <v>45000</v>
      </c>
      <c r="J109" s="27">
        <v>0</v>
      </c>
      <c r="K109" s="21">
        <f>SUM(D109:J109)</f>
        <v>101932</v>
      </c>
    </row>
    <row r="110" spans="1:11" ht="15.75" thickBot="1">
      <c r="A110" s="61"/>
      <c r="B110" s="38" t="s">
        <v>107</v>
      </c>
      <c r="C110" s="27">
        <v>0</v>
      </c>
      <c r="D110" s="21">
        <v>105000</v>
      </c>
      <c r="E110" s="28">
        <v>-310</v>
      </c>
      <c r="F110" s="27">
        <v>0</v>
      </c>
      <c r="G110" s="28">
        <v>0</v>
      </c>
      <c r="H110" s="63">
        <v>0</v>
      </c>
      <c r="I110" s="28">
        <v>0</v>
      </c>
      <c r="J110" s="63">
        <v>0</v>
      </c>
      <c r="K110" s="21">
        <f>SUM(D110:J110)</f>
        <v>104690</v>
      </c>
    </row>
    <row r="111" spans="1:11" s="34" customFormat="1" ht="13.5" thickBot="1">
      <c r="A111" s="54"/>
      <c r="B111" s="55" t="s">
        <v>108</v>
      </c>
      <c r="C111" s="48">
        <f>SUM(C109:C110)</f>
        <v>0</v>
      </c>
      <c r="D111" s="48">
        <f aca="true" t="shared" si="20" ref="D111:K111">SUM(D109:D110)</f>
        <v>162100</v>
      </c>
      <c r="E111" s="48">
        <f t="shared" si="20"/>
        <v>-478</v>
      </c>
      <c r="F111" s="48">
        <f t="shared" si="20"/>
        <v>0</v>
      </c>
      <c r="G111" s="48">
        <f t="shared" si="20"/>
        <v>0</v>
      </c>
      <c r="H111" s="48">
        <f t="shared" si="20"/>
        <v>0</v>
      </c>
      <c r="I111" s="48">
        <f t="shared" si="20"/>
        <v>45000</v>
      </c>
      <c r="J111" s="48">
        <f t="shared" si="20"/>
        <v>0</v>
      </c>
      <c r="K111" s="48">
        <f t="shared" si="20"/>
        <v>206622</v>
      </c>
    </row>
    <row r="112" spans="1:11" ht="12.75">
      <c r="A112" s="61"/>
      <c r="B112" s="62"/>
      <c r="C112" s="27"/>
      <c r="D112" s="16"/>
      <c r="E112" s="18"/>
      <c r="F112" s="27"/>
      <c r="G112" s="18"/>
      <c r="H112" s="24"/>
      <c r="I112" s="19"/>
      <c r="J112" s="25"/>
      <c r="K112" s="21"/>
    </row>
    <row r="113" spans="1:11" ht="13.5" thickBot="1">
      <c r="A113" s="61"/>
      <c r="B113" s="62"/>
      <c r="C113" s="27"/>
      <c r="D113" s="16"/>
      <c r="E113" s="18"/>
      <c r="F113" s="27"/>
      <c r="G113" s="18"/>
      <c r="H113" s="27"/>
      <c r="I113" s="19"/>
      <c r="J113" s="25"/>
      <c r="K113" s="21"/>
    </row>
    <row r="114" spans="1:11" s="67" customFormat="1" ht="13.5" thickBot="1">
      <c r="A114" s="64" t="s">
        <v>109</v>
      </c>
      <c r="B114" s="65" t="s">
        <v>110</v>
      </c>
      <c r="C114" s="48">
        <v>671379</v>
      </c>
      <c r="D114" s="48">
        <v>648379</v>
      </c>
      <c r="E114" s="66">
        <v>-1912</v>
      </c>
      <c r="F114" s="48">
        <v>0</v>
      </c>
      <c r="G114" s="66">
        <f>1380+4863+19367+5194+38245+55160+166259</f>
        <v>290468</v>
      </c>
      <c r="H114" s="48">
        <v>0</v>
      </c>
      <c r="I114" s="66">
        <f>-2000+300+25000+6400-29911+600+5400+13000+1400</f>
        <v>20189</v>
      </c>
      <c r="J114" s="48">
        <v>0</v>
      </c>
      <c r="K114" s="48">
        <f>SUM(D114:J114)</f>
        <v>957124</v>
      </c>
    </row>
    <row r="115" spans="1:11" s="67" customFormat="1" ht="12.75">
      <c r="A115" s="68"/>
      <c r="B115" s="69"/>
      <c r="C115" s="45"/>
      <c r="D115" s="70"/>
      <c r="E115" s="71"/>
      <c r="F115" s="45"/>
      <c r="G115" s="71"/>
      <c r="H115" s="45"/>
      <c r="I115" s="71"/>
      <c r="J115" s="45"/>
      <c r="K115" s="70"/>
    </row>
    <row r="116" spans="1:11" s="67" customFormat="1" ht="13.5" thickBot="1">
      <c r="A116" s="68"/>
      <c r="B116" s="69"/>
      <c r="C116" s="45"/>
      <c r="D116" s="70"/>
      <c r="E116" s="71"/>
      <c r="F116" s="45"/>
      <c r="G116" s="71"/>
      <c r="H116" s="45"/>
      <c r="I116" s="71"/>
      <c r="J116" s="45"/>
      <c r="K116" s="70"/>
    </row>
    <row r="117" spans="1:11" s="67" customFormat="1" ht="13.5" thickBot="1">
      <c r="A117" s="64" t="s">
        <v>111</v>
      </c>
      <c r="B117" s="65" t="s">
        <v>112</v>
      </c>
      <c r="C117" s="48">
        <v>0</v>
      </c>
      <c r="D117" s="60">
        <v>0</v>
      </c>
      <c r="E117" s="66">
        <v>0</v>
      </c>
      <c r="F117" s="48">
        <v>0</v>
      </c>
      <c r="G117" s="66">
        <v>0</v>
      </c>
      <c r="H117" s="48">
        <v>0</v>
      </c>
      <c r="I117" s="66">
        <v>0</v>
      </c>
      <c r="J117" s="48">
        <v>0</v>
      </c>
      <c r="K117" s="60">
        <v>0</v>
      </c>
    </row>
    <row r="118" spans="1:11" s="67" customFormat="1" ht="12.75">
      <c r="A118" s="68"/>
      <c r="B118" s="69"/>
      <c r="C118" s="45"/>
      <c r="D118" s="70"/>
      <c r="E118" s="71"/>
      <c r="F118" s="45"/>
      <c r="G118" s="71"/>
      <c r="H118" s="45"/>
      <c r="I118" s="71"/>
      <c r="J118" s="45"/>
      <c r="K118" s="70"/>
    </row>
    <row r="119" spans="1:11" s="72" customFormat="1" ht="13.5" thickBot="1">
      <c r="A119" s="68"/>
      <c r="B119" s="69"/>
      <c r="C119" s="30"/>
      <c r="D119" s="36"/>
      <c r="E119" s="29"/>
      <c r="F119" s="30"/>
      <c r="G119" s="29"/>
      <c r="H119" s="30"/>
      <c r="I119" s="29"/>
      <c r="J119" s="30"/>
      <c r="K119" s="70"/>
    </row>
    <row r="120" spans="1:11" s="56" customFormat="1" ht="13.5" thickBot="1">
      <c r="A120" s="64" t="s">
        <v>113</v>
      </c>
      <c r="B120" s="60" t="s">
        <v>114</v>
      </c>
      <c r="C120" s="48">
        <f>SUM(C61+C99+C107+C114+C117)</f>
        <v>3164228</v>
      </c>
      <c r="D120" s="48">
        <f aca="true" t="shared" si="21" ref="D120:I120">SUM(D61+D99+D107+D111+D114)</f>
        <v>3306269</v>
      </c>
      <c r="E120" s="48">
        <f t="shared" si="21"/>
        <v>-9749</v>
      </c>
      <c r="F120" s="48">
        <f t="shared" si="21"/>
        <v>0</v>
      </c>
      <c r="G120" s="48">
        <f t="shared" si="21"/>
        <v>403505</v>
      </c>
      <c r="H120" s="48">
        <f t="shared" si="21"/>
        <v>0</v>
      </c>
      <c r="I120" s="48">
        <f t="shared" si="21"/>
        <v>359502</v>
      </c>
      <c r="J120" s="48">
        <f>SUM(J61+J99+J107+J111+J114)</f>
        <v>0</v>
      </c>
      <c r="K120" s="48">
        <f>SUM(K61+K99+K107+K111+K114+K117)-1</f>
        <v>4059548</v>
      </c>
    </row>
    <row r="121" spans="1:11" s="18" customFormat="1" ht="12.75">
      <c r="A121" s="73"/>
      <c r="I121" s="19"/>
      <c r="J121" s="19"/>
      <c r="K121" s="28"/>
    </row>
    <row r="122" spans="1:11" s="18" customFormat="1" ht="12.75">
      <c r="A122" s="73"/>
      <c r="I122" s="19"/>
      <c r="J122" s="19"/>
      <c r="K122" s="28"/>
    </row>
    <row r="123" spans="1:11" s="18" customFormat="1" ht="12.75">
      <c r="A123" s="73"/>
      <c r="I123" s="19"/>
      <c r="J123" s="19"/>
      <c r="K123" s="28"/>
    </row>
    <row r="124" spans="1:11" s="18" customFormat="1" ht="12.75">
      <c r="A124" s="73"/>
      <c r="I124" s="19"/>
      <c r="J124" s="19"/>
      <c r="K124" s="28"/>
    </row>
  </sheetData>
  <sheetProtection/>
  <printOptions/>
  <pageMargins left="0.7" right="0.7" top="0.75" bottom="0.75" header="0.3" footer="0.3"/>
  <pageSetup fitToHeight="2" fitToWidth="1" horizontalDpi="600" verticalDpi="600" orientation="landscape" scale="52" r:id="rId1"/>
  <headerFooter>
    <oddHeader>&amp;CFY 2009/2011
PROCUREMENT, DEFENSE-WIDE
As of 30 September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2011-10-26T12:09:39Z</dcterms:modified>
  <cp:category/>
  <cp:version/>
  <cp:contentType/>
  <cp:contentStatus/>
</cp:coreProperties>
</file>