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855" tabRatio="921" firstSheet="5" activeTab="8"/>
  </bookViews>
  <sheets>
    <sheet name="Summary" sheetId="1" r:id="rId1"/>
    <sheet name="BAG" sheetId="2" r:id="rId2"/>
    <sheet name="Special Interest" sheetId="3" r:id="rId3"/>
    <sheet name="Procurement" sheetId="4" r:id="rId4"/>
    <sheet name="RDTE" sheetId="5" r:id="rId5"/>
    <sheet name="Personnel Summary - Mil" sheetId="6" r:id="rId6"/>
    <sheet name="Personnel Summary - Civ" sheetId="7" r:id="rId7"/>
    <sheet name="Personnel Summary - Lead Agents" sheetId="8" r:id="rId8"/>
    <sheet name="Medical Workload Data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1">'BAG'!$A$1:$P$93</definedName>
    <definedName name="_xlnm.Print_Area" localSheetId="8">'Medical Workload Data'!$A$1:$O$143</definedName>
    <definedName name="_xlnm.Print_Area" localSheetId="7">'Personnel Summary - Lead Agents'!$A$1:$P$17</definedName>
    <definedName name="_xlnm.Print_Area" localSheetId="2">'Special Interest'!$A$1:$R$90</definedName>
    <definedName name="_xlnm.Print_Area" localSheetId="0">'Summary'!$A$1:$P$44</definedName>
    <definedName name="_xlnm.Print_Titles" localSheetId="1">'BAG'!$1:$13</definedName>
    <definedName name="wrn.PB11." localSheetId="8" hidden="1">{#N/A,#N/A,TRUE,"Summary";#N/A,#N/A,TRUE,"BAG";#N/A,#N/A,TRUE,"Special Interest";#N/A,#N/A,TRUE,"Procurement"}</definedName>
    <definedName name="wrn.PB11." localSheetId="4" hidden="1">{#N/A,#N/A,TRUE,"Summary";#N/A,#N/A,TRUE,"BAG";#N/A,#N/A,TRUE,"Special Interest";#N/A,#N/A,TRUE,"Procurement"}</definedName>
    <definedName name="wrn.PB11." hidden="1">{#N/A,#N/A,TRUE,"Summary";#N/A,#N/A,TRUE,"BAG";#N/A,#N/A,TRUE,"Special Interest";#N/A,#N/A,TRUE,"Procurement"}</definedName>
    <definedName name="wrn.PB11a." localSheetId="8" hidden="1">{#N/A,#N/A,TRUE,"Personnel Summary - Mil";#N/A,#N/A,TRUE,"Personnel Summary - Civ";#N/A,#N/A,TRUE,"Personnel Summary - Lead Agents"}</definedName>
    <definedName name="wrn.PB11a." localSheetId="4" hidden="1">{#N/A,#N/A,TRUE,"Personnel Summary - Mil";#N/A,#N/A,TRUE,"Personnel Summary - Civ";#N/A,#N/A,TRUE,"Personnel Summary - Lead Agents"}</definedName>
    <definedName name="wrn.PB11a." hidden="1">{#N/A,#N/A,TRUE,"Personnel Summary - Mil";#N/A,#N/A,TRUE,"Personnel Summary - Civ";#N/A,#N/A,TRUE,"Personnel Summary - Lead Agents"}</definedName>
    <definedName name="wrn.PB11b." localSheetId="8" hidden="1">{#N/A,#N/A,FALSE,"Medical Workload Data"}</definedName>
    <definedName name="wrn.PB11b." localSheetId="4" hidden="1">{#N/A,#N/A,FALSE,"Medical Workload Data"}</definedName>
    <definedName name="wrn.PB11b." hidden="1">{#N/A,#N/A,FALSE,"Medical Workload Data"}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<sst xmlns="http://schemas.openxmlformats.org/spreadsheetml/2006/main" count="617" uniqueCount="309">
  <si>
    <t>COST OF MEDICAL ACTIVITIES</t>
  </si>
  <si>
    <t>DEFENSE HEALTH PROGRAM</t>
  </si>
  <si>
    <t>Defense Health Program Funding Summary</t>
  </si>
  <si>
    <t>(Dollars in Thousands)</t>
  </si>
  <si>
    <t>In-House Care</t>
  </si>
  <si>
    <t>Private Sector Care</t>
  </si>
  <si>
    <t>Consolidated Health Support</t>
  </si>
  <si>
    <t>Management Activities</t>
  </si>
  <si>
    <t>Education and Training</t>
  </si>
  <si>
    <t>Base Operations/Communications</t>
  </si>
  <si>
    <t>Subtotal Operation and Maintenance</t>
  </si>
  <si>
    <t>Procurement</t>
  </si>
  <si>
    <t>Dental Equipment</t>
  </si>
  <si>
    <t>Food Ser, Preventive Med, Pharmacy Equip</t>
  </si>
  <si>
    <t>Medical Information System Equipment</t>
  </si>
  <si>
    <t>Medical Patient Care Administrative Equip</t>
  </si>
  <si>
    <t>Medical/Surgical Equipment</t>
  </si>
  <si>
    <t>Other Equipment</t>
  </si>
  <si>
    <t>Pathology/Lab Equipment</t>
  </si>
  <si>
    <t>Radiographic Equipment</t>
  </si>
  <si>
    <t>Subtotal Procurement</t>
  </si>
  <si>
    <t>Total Defense Health Program</t>
  </si>
  <si>
    <t>Actual</t>
  </si>
  <si>
    <t>Estimate</t>
  </si>
  <si>
    <t xml:space="preserve">  $  </t>
  </si>
  <si>
    <t xml:space="preserve">  (%)  </t>
  </si>
  <si>
    <t>Operation and Maintenance Funding by Subactivity Group</t>
  </si>
  <si>
    <t>0807700</t>
  </si>
  <si>
    <t>0807900</t>
  </si>
  <si>
    <t>0807715</t>
  </si>
  <si>
    <t>0807915</t>
  </si>
  <si>
    <t>Subtotal In-House Care</t>
  </si>
  <si>
    <t>0807723</t>
  </si>
  <si>
    <t>Dental Care Activities - CONUS</t>
  </si>
  <si>
    <t>Dental Care Activities - OCONUS</t>
  </si>
  <si>
    <t>MEDCENs, Hospitals &amp; Clinics (CONUS)</t>
  </si>
  <si>
    <t>MEDCENs, Hospitals &amp; Clinics (OCONUS)</t>
  </si>
  <si>
    <t>0807713</t>
  </si>
  <si>
    <t>Subtotal Private Sector Care</t>
  </si>
  <si>
    <t>0801720</t>
  </si>
  <si>
    <t>Examining Activities</t>
  </si>
  <si>
    <t>0807714</t>
  </si>
  <si>
    <t>Other Health Activities</t>
  </si>
  <si>
    <t>0807705</t>
  </si>
  <si>
    <t>Military Public/Occupational Health</t>
  </si>
  <si>
    <t>0807760</t>
  </si>
  <si>
    <t>Veterinary Services</t>
  </si>
  <si>
    <t>0807724</t>
  </si>
  <si>
    <t>Military Unique - Other Medical</t>
  </si>
  <si>
    <t>0807725</t>
  </si>
  <si>
    <t>Aeromedical Evacuation System</t>
  </si>
  <si>
    <t>0807785</t>
  </si>
  <si>
    <t>AFIP</t>
  </si>
  <si>
    <t>Subtotal Consolidated Health Support</t>
  </si>
  <si>
    <t>Information Management</t>
  </si>
  <si>
    <t>Central Information Management</t>
  </si>
  <si>
    <t>0807798</t>
  </si>
  <si>
    <t>Management Headquarters</t>
  </si>
  <si>
    <t>0807709</t>
  </si>
  <si>
    <t>TRICARE Management Activity</t>
  </si>
  <si>
    <t>Subtotal Management Activities</t>
  </si>
  <si>
    <t>0807776</t>
  </si>
  <si>
    <t>0807976</t>
  </si>
  <si>
    <t>Minor Construction - CONUS</t>
  </si>
  <si>
    <t>Minor Construction - OCONUS</t>
  </si>
  <si>
    <t>0806722</t>
  </si>
  <si>
    <t>HPSP</t>
  </si>
  <si>
    <t>0806721</t>
  </si>
  <si>
    <t>USUHS</t>
  </si>
  <si>
    <t>0806761</t>
  </si>
  <si>
    <t>Other Education and Training</t>
  </si>
  <si>
    <t>Subtotal Education and Training</t>
  </si>
  <si>
    <t>0807778</t>
  </si>
  <si>
    <t>Maintenance and Repair - CONUS</t>
  </si>
  <si>
    <t>Maintenance and Repair - OCONUS</t>
  </si>
  <si>
    <t>0807779</t>
  </si>
  <si>
    <t>Real Property Services - CONUS</t>
  </si>
  <si>
    <t>0807979</t>
  </si>
  <si>
    <t>Real Property Services - OCONUS</t>
  </si>
  <si>
    <t>0807795</t>
  </si>
  <si>
    <t>Base Communications - CONUS</t>
  </si>
  <si>
    <t>0807995</t>
  </si>
  <si>
    <t>Base Communications - OCONUS</t>
  </si>
  <si>
    <t>0807796</t>
  </si>
  <si>
    <t>Base Operations - CONUS</t>
  </si>
  <si>
    <t>0807996</t>
  </si>
  <si>
    <t>Base Operations - OCONUS</t>
  </si>
  <si>
    <t>0807753</t>
  </si>
  <si>
    <t>Environmental Conservation</t>
  </si>
  <si>
    <t>0807754</t>
  </si>
  <si>
    <t>Pollution Prevention</t>
  </si>
  <si>
    <t>0807756</t>
  </si>
  <si>
    <t>Environmental Compliance</t>
  </si>
  <si>
    <t>0807790</t>
  </si>
  <si>
    <t>Visual Information Systems</t>
  </si>
  <si>
    <t>Subtotal Base Ops/Comm</t>
  </si>
  <si>
    <t>TOTAL DHP - OPERATION AND MAINTENANCE</t>
  </si>
  <si>
    <t>Central Medical Laboratories</t>
  </si>
  <si>
    <t>Patient Related Travel</t>
  </si>
  <si>
    <t>Other</t>
  </si>
  <si>
    <t>Total Other Health Activities</t>
  </si>
  <si>
    <t>Physiological Training Units</t>
  </si>
  <si>
    <t>Drug Abuse Detection Laboratories</t>
  </si>
  <si>
    <t>Military Blood Program Agency</t>
  </si>
  <si>
    <t>Optical Repair/Fabrication Laboratories</t>
  </si>
  <si>
    <t>Walter Reed Army Institute of Research</t>
  </si>
  <si>
    <t>Total Military Unique Requirements - Other Medical</t>
  </si>
  <si>
    <t>0807720</t>
  </si>
  <si>
    <t xml:space="preserve">  Initial Outfitting</t>
  </si>
  <si>
    <t>0807721</t>
  </si>
  <si>
    <t>Replacement &amp; Modernization</t>
  </si>
  <si>
    <t>Total - Procurement</t>
  </si>
  <si>
    <t>Subtotal Initial Outfitting</t>
  </si>
  <si>
    <t>Subtotal Replacement &amp; Modernization</t>
  </si>
  <si>
    <t>Active Military - Assigned to DHP</t>
  </si>
  <si>
    <t>Army Total</t>
  </si>
  <si>
    <t>Enlisted</t>
  </si>
  <si>
    <t>Navy Total</t>
  </si>
  <si>
    <t>Officers</t>
  </si>
  <si>
    <t>Air Force Total</t>
  </si>
  <si>
    <t>Active Military - Non DHP Medical</t>
  </si>
  <si>
    <t>Total Active Duty</t>
  </si>
  <si>
    <t>I.</t>
  </si>
  <si>
    <t>Civilian Personnel - US Direct Hire</t>
  </si>
  <si>
    <t>Army</t>
  </si>
  <si>
    <t>Navy</t>
  </si>
  <si>
    <t>Air Force</t>
  </si>
  <si>
    <t>Total</t>
  </si>
  <si>
    <t>II.</t>
  </si>
  <si>
    <t>Civilian Personnel - Foreign National Direct Hire</t>
  </si>
  <si>
    <t>III.</t>
  </si>
  <si>
    <t>Civilian Personnel - Foreign National Indirect Hire</t>
  </si>
  <si>
    <t>IV.</t>
  </si>
  <si>
    <t>Total Civilian Personnel</t>
  </si>
  <si>
    <t>V.</t>
  </si>
  <si>
    <t>Summary Civilian Personnel</t>
  </si>
  <si>
    <t>US Direct Hire</t>
  </si>
  <si>
    <t>Foreign National Direct Hire</t>
  </si>
  <si>
    <t>Foreign National Indirect Hire</t>
  </si>
  <si>
    <t>Special Interest Manpower (End Strength)</t>
  </si>
  <si>
    <t>TRICARE Regional Lead Agents:</t>
  </si>
  <si>
    <t>Civilian End Strength</t>
  </si>
  <si>
    <t>Population - Average Eligible Beneficiaries</t>
  </si>
  <si>
    <t>Population - Average MHSS Reliants/Users</t>
  </si>
  <si>
    <t>Medical Workload Data</t>
  </si>
  <si>
    <t>Enrollees - (Managed Care Support Contract)</t>
  </si>
  <si>
    <t>Infrastructure</t>
  </si>
  <si>
    <t>Private Sector Workload</t>
  </si>
  <si>
    <t>1/  Incl reimbursable civilians - memo</t>
  </si>
  <si>
    <t>Total Civilians /1</t>
  </si>
  <si>
    <t>Total /1</t>
  </si>
  <si>
    <t>End</t>
  </si>
  <si>
    <t>Strength</t>
  </si>
  <si>
    <t>Avg</t>
  </si>
  <si>
    <t>FTEs</t>
  </si>
  <si>
    <t xml:space="preserve">    Active Duty</t>
  </si>
  <si>
    <t xml:space="preserve">    Active Duty Dependents</t>
  </si>
  <si>
    <t xml:space="preserve">    CHAMPUS Eligible Retirees</t>
  </si>
  <si>
    <t xml:space="preserve">    CHAMPUS Eligible Dependents of Retirees</t>
  </si>
  <si>
    <t xml:space="preserve">        Subtotal CHAMPUS Eligibles</t>
  </si>
  <si>
    <t xml:space="preserve">    Over 65 Eligible Beneficiaries</t>
  </si>
  <si>
    <t xml:space="preserve">        Total Average Eligible Beneficiaries</t>
  </si>
  <si>
    <t xml:space="preserve">         Subtotal CHAMPUS Eligibles</t>
  </si>
  <si>
    <t xml:space="preserve">         Total Average MHSS Reliants/Users</t>
  </si>
  <si>
    <t xml:space="preserve">    TRICARE Region 1</t>
  </si>
  <si>
    <t xml:space="preserve">    TRICARE Region 2</t>
  </si>
  <si>
    <t xml:space="preserve">    TRICARE Region 3</t>
  </si>
  <si>
    <t xml:space="preserve">    TRICARE Region 4</t>
  </si>
  <si>
    <t xml:space="preserve">    TRICARE Region 5</t>
  </si>
  <si>
    <t xml:space="preserve">    TRICARE Region 6</t>
  </si>
  <si>
    <t xml:space="preserve">    TRICARE Region 7</t>
  </si>
  <si>
    <t xml:space="preserve">    TRICARE Region 9</t>
  </si>
  <si>
    <t xml:space="preserve">    TRICARE Region 10</t>
  </si>
  <si>
    <t xml:space="preserve">    TRICARE Region 11</t>
  </si>
  <si>
    <t xml:space="preserve">    Overseas</t>
  </si>
  <si>
    <t xml:space="preserve">    Total Direct Care</t>
  </si>
  <si>
    <t xml:space="preserve">    Hospitals/Medical Centers</t>
  </si>
  <si>
    <t xml:space="preserve">    Operating beds</t>
  </si>
  <si>
    <t xml:space="preserve">    Medical Clinics</t>
  </si>
  <si>
    <t xml:space="preserve">    Inpatient Work Units (IWUs)</t>
  </si>
  <si>
    <t xml:space="preserve">    Average Length of Stays (Bed Days/Disposition)</t>
  </si>
  <si>
    <t xml:space="preserve">    CONUS</t>
  </si>
  <si>
    <t xml:space="preserve">    OCONUS</t>
  </si>
  <si>
    <r>
      <t xml:space="preserve">    </t>
    </r>
    <r>
      <rPr>
        <u val="single"/>
        <sz val="10"/>
        <rFont val="Courier New"/>
        <family val="3"/>
      </rPr>
      <t>OCONUS</t>
    </r>
  </si>
  <si>
    <t xml:space="preserve">        Active Duty</t>
  </si>
  <si>
    <t xml:space="preserve">        Non-Active Duty</t>
  </si>
  <si>
    <r>
      <t xml:space="preserve">    </t>
    </r>
    <r>
      <rPr>
        <u val="single"/>
        <sz val="10"/>
        <rFont val="Courier New"/>
        <family val="3"/>
      </rPr>
      <t>CONUS</t>
    </r>
  </si>
  <si>
    <t xml:space="preserve">                Total CONUS</t>
  </si>
  <si>
    <t xml:space="preserve">        Inpatient Admissions</t>
  </si>
  <si>
    <t xml:space="preserve">        Outpatient Visits</t>
  </si>
  <si>
    <t xml:space="preserve">        Enrollees</t>
  </si>
  <si>
    <t xml:space="preserve">               Total 1-11</t>
  </si>
  <si>
    <t xml:space="preserve">Regional Management (Lead Agents, </t>
  </si>
  <si>
    <t xml:space="preserve">Army Medical Field Procurement Offices </t>
  </si>
  <si>
    <t xml:space="preserve">Readiness Activities (including Medical </t>
  </si>
  <si>
    <t xml:space="preserve">Wartime Hospital Integration Office) </t>
  </si>
  <si>
    <t>0807714   Other Health Activities</t>
  </si>
  <si>
    <t>0807724  Military Unique Requirements - Other Medical</t>
  </si>
  <si>
    <t>.</t>
  </si>
  <si>
    <t xml:space="preserve">    </t>
  </si>
  <si>
    <t>Military End Strength</t>
  </si>
  <si>
    <t>FY 2001</t>
  </si>
  <si>
    <t>SUMMARY</t>
  </si>
  <si>
    <t xml:space="preserve">    TRICARE Region 8 </t>
  </si>
  <si>
    <t xml:space="preserve">    TRICARE Region 12</t>
  </si>
  <si>
    <t xml:space="preserve">     Alaska</t>
  </si>
  <si>
    <t>0807978</t>
  </si>
  <si>
    <t xml:space="preserve">Research, Development, Test and Evaluation </t>
  </si>
  <si>
    <t>Congressionally Directed Programs</t>
  </si>
  <si>
    <t>Information Management/Information Tech</t>
  </si>
  <si>
    <t>Subtotal Research, Dev, Test and Eval</t>
  </si>
  <si>
    <t>FY 2002</t>
  </si>
  <si>
    <t>FY01-02 Change</t>
  </si>
  <si>
    <t>0806276</t>
  </si>
  <si>
    <t>0806376</t>
  </si>
  <si>
    <t>0806278</t>
  </si>
  <si>
    <t>Facilites Sustainment - CONUS Health Care</t>
  </si>
  <si>
    <t>0806378</t>
  </si>
  <si>
    <t>Facilites Sustainment - OCONUS Health Care</t>
  </si>
  <si>
    <t>FY 2002 Estimate</t>
  </si>
  <si>
    <t>Special Interest O&amp;M Items</t>
  </si>
  <si>
    <t>Health Support Offices, Regional Medical Commands)</t>
  </si>
  <si>
    <t>Service Non-central Medical Information Management/</t>
  </si>
  <si>
    <t xml:space="preserve">Information Technology Programs </t>
  </si>
  <si>
    <t>Total Managed Care Support (MCS)</t>
  </si>
  <si>
    <t>Adminstrative Costs</t>
  </si>
  <si>
    <t>Health Care Costs</t>
  </si>
  <si>
    <t>Supplemental Care</t>
  </si>
  <si>
    <t>National Mail Order Pharmacy</t>
  </si>
  <si>
    <t>Health Facilities Offices</t>
  </si>
  <si>
    <t>Medical Support Offices</t>
  </si>
  <si>
    <t>Navy Medical Logistics Command</t>
  </si>
  <si>
    <t xml:space="preserve">Procurement Funding </t>
  </si>
  <si>
    <t>Research, Development, Test and Evaluation Funding</t>
  </si>
  <si>
    <t xml:space="preserve">0603115 </t>
  </si>
  <si>
    <t>Medical Development</t>
  </si>
  <si>
    <t>0605502</t>
  </si>
  <si>
    <t>0605013</t>
  </si>
  <si>
    <t>Information Technology Development</t>
  </si>
  <si>
    <t>Small Business Innovative Research (SBIR) Program</t>
  </si>
  <si>
    <t>Total RDTE Program</t>
  </si>
  <si>
    <t>Miltary Personnel</t>
  </si>
  <si>
    <t>PERSONNEL SUMMARY</t>
  </si>
  <si>
    <t>Civilian Personnel</t>
  </si>
  <si>
    <t>Lead Agents</t>
  </si>
  <si>
    <t>Overseas CHAMPUS</t>
  </si>
  <si>
    <t>Uniformed Services Family Health Plan (formerly USTF)</t>
  </si>
  <si>
    <t>and Central Design Activities</t>
  </si>
  <si>
    <t>(includes associated Base Communications requirements)</t>
  </si>
  <si>
    <t xml:space="preserve">    Total Ambulatory Work Units (AWUs)</t>
  </si>
  <si>
    <t xml:space="preserve">    Total Procedure Visits (APVs)</t>
  </si>
  <si>
    <t xml:space="preserve">    Total Ambulatory Visits </t>
  </si>
  <si>
    <t xml:space="preserve">    Occupied Bed Days</t>
  </si>
  <si>
    <t xml:space="preserve">    Dispositions</t>
  </si>
  <si>
    <t>Direct Care System Workload (from MEPRS)</t>
  </si>
  <si>
    <t>n/a</t>
  </si>
  <si>
    <t>no projections avaliable</t>
  </si>
  <si>
    <t>"</t>
  </si>
  <si>
    <t>Managed Care Support Contracts (TRICARE Prime)</t>
  </si>
  <si>
    <t>TRICARE (Standard and Extra)</t>
  </si>
  <si>
    <t>data not avaliable at submission time</t>
  </si>
  <si>
    <t xml:space="preserve">            Total OCONUS</t>
  </si>
  <si>
    <t>Dental Workload (Dental Weighted Procedure)</t>
  </si>
  <si>
    <t xml:space="preserve">        Total DWP</t>
  </si>
  <si>
    <t>0807781</t>
  </si>
  <si>
    <t>Non-Central IM/IT</t>
  </si>
  <si>
    <t>0807702</t>
  </si>
  <si>
    <t>Pharmaceuticals, Purchase Health Care</t>
  </si>
  <si>
    <t>0807701</t>
  </si>
  <si>
    <t>Pharmaceuticals, In-House (CONUS)</t>
  </si>
  <si>
    <t>0807901</t>
  </si>
  <si>
    <t>Pharmaceuticals, In-House (OCONUS)</t>
  </si>
  <si>
    <t>TRICARE Managed Care Support Contracts</t>
  </si>
  <si>
    <t>Purchased Healthcare</t>
  </si>
  <si>
    <t>Subtotal Information Management</t>
  </si>
  <si>
    <t xml:space="preserve"> </t>
  </si>
  <si>
    <t>Fiscal Year 2003 Budget Submission</t>
  </si>
  <si>
    <t>FY 2003</t>
  </si>
  <si>
    <t>FY02-03 Change</t>
  </si>
  <si>
    <t>FY 2001 Actual</t>
  </si>
  <si>
    <t>FY 2003 Estimate</t>
  </si>
  <si>
    <t>FY 2001  Actual</t>
  </si>
  <si>
    <t>MCFAS FY 2000.0 -- Worldwide</t>
  </si>
  <si>
    <t>Fiscal Year 2003 Budget Estimate</t>
  </si>
  <si>
    <t>Facilities Restoration and Modernization - CONUS</t>
  </si>
  <si>
    <t>Facilities Restoration and Modernization - OCONUS</t>
  </si>
  <si>
    <t>0807793</t>
  </si>
  <si>
    <t>Operation and Maintenance*</t>
  </si>
  <si>
    <t>Accrual Fund Receipts</t>
  </si>
  <si>
    <t>-</t>
  </si>
  <si>
    <t>Total Program</t>
  </si>
  <si>
    <t>Dental</t>
  </si>
  <si>
    <t>Uniformed Services Family Health Plan (USFHP) 1/</t>
  </si>
  <si>
    <t>Note 2/:  FY02 is a memo entry.  Revised Financing is budgeted in the In-House Care Budget Activity Group.</t>
  </si>
  <si>
    <t xml:space="preserve">Total Other Private Sector Care </t>
  </si>
  <si>
    <t>Revised Financing 2/</t>
  </si>
  <si>
    <t>TRICARE for Life 1/</t>
  </si>
  <si>
    <t>Enrollees - Direct Care</t>
  </si>
  <si>
    <t>Dental Program Enrollees</t>
  </si>
  <si>
    <t>Receipt from Accrual Fund</t>
  </si>
  <si>
    <t xml:space="preserve">        Total Health Care Costs</t>
  </si>
  <si>
    <t xml:space="preserve">        Total In-House Care Costs</t>
  </si>
  <si>
    <t xml:space="preserve">        Total Private-Sector Care Costs</t>
  </si>
  <si>
    <t>Department projection of FY 2003 In-House Care receipts from the DoD Medicare-Eligible Retiree Health Care Fund to pay for health care costs.</t>
  </si>
  <si>
    <t>TRICARE Senior Pharmacy /1</t>
  </si>
  <si>
    <t>Note 1/:  FY 2003 reflects migration of medicare eligible beneficiaries to the accural fund.</t>
  </si>
  <si>
    <t>Note:  Actual data is based on HCSR</t>
  </si>
  <si>
    <t>treatment encounters as of EOM July</t>
  </si>
  <si>
    <t>2001 and is not estimated to completion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</si>
</sst>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</numFmts>
  <fonts count="14">
    <font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Courier New"/>
      <family val="3"/>
    </font>
    <font>
      <sz val="12"/>
      <name val="Courier New"/>
      <family val="3"/>
    </font>
    <font>
      <u val="single"/>
      <sz val="12"/>
      <name val="Courier New"/>
      <family val="3"/>
    </font>
    <font>
      <b/>
      <sz val="10"/>
      <name val="Courier New"/>
      <family val="3"/>
    </font>
    <font>
      <sz val="10"/>
      <name val="Courier New"/>
      <family val="3"/>
    </font>
    <font>
      <u val="single"/>
      <sz val="10"/>
      <name val="Courier New"/>
      <family val="3"/>
    </font>
    <font>
      <b/>
      <u val="single"/>
      <sz val="10"/>
      <name val="Courier New"/>
      <family val="3"/>
    </font>
    <font>
      <b/>
      <u val="single"/>
      <sz val="12"/>
      <name val="Courier New"/>
      <family val="3"/>
    </font>
    <font>
      <sz val="12"/>
      <name val="Times New Roman"/>
      <family val="1"/>
    </font>
    <font>
      <b/>
      <i/>
      <sz val="12"/>
      <name val="Courier New"/>
      <family val="3"/>
    </font>
    <font>
      <b/>
      <i/>
      <sz val="11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 quotePrefix="1">
      <alignment/>
    </xf>
    <xf numFmtId="10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4" fillId="0" borderId="0" xfId="0" applyNumberFormat="1" applyFont="1" applyAlignment="1" quotePrefix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3" fontId="7" fillId="0" borderId="0" xfId="0" applyNumberFormat="1" applyFont="1" applyAlignment="1" quotePrefix="1">
      <alignment/>
    </xf>
    <xf numFmtId="3" fontId="8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49" fontId="4" fillId="0" borderId="0" xfId="0" applyNumberFormat="1" applyFont="1" applyAlignment="1">
      <alignment/>
    </xf>
    <xf numFmtId="3" fontId="7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 quotePrefix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7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9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Continuous"/>
    </xf>
    <xf numFmtId="9" fontId="5" fillId="0" borderId="0" xfId="0" applyNumberFormat="1" applyFont="1" applyAlignment="1">
      <alignment horizontal="center"/>
    </xf>
    <xf numFmtId="9" fontId="4" fillId="0" borderId="0" xfId="0" applyNumberFormat="1" applyFont="1" applyAlignment="1">
      <alignment/>
    </xf>
    <xf numFmtId="9" fontId="4" fillId="0" borderId="0" xfId="0" applyNumberFormat="1" applyFont="1" applyAlignment="1">
      <alignment horizontal="left"/>
    </xf>
    <xf numFmtId="9" fontId="7" fillId="0" borderId="0" xfId="19" applyFont="1" applyAlignment="1">
      <alignment horizontal="center"/>
    </xf>
    <xf numFmtId="9" fontId="6" fillId="0" borderId="0" xfId="19" applyFont="1" applyAlignment="1">
      <alignment horizontal="center"/>
    </xf>
    <xf numFmtId="9" fontId="7" fillId="0" borderId="0" xfId="19" applyFont="1" applyAlignment="1">
      <alignment horizontal="left"/>
    </xf>
    <xf numFmtId="9" fontId="7" fillId="0" borderId="0" xfId="19" applyFont="1" applyAlignment="1">
      <alignment/>
    </xf>
    <xf numFmtId="9" fontId="8" fillId="0" borderId="0" xfId="19" applyFont="1" applyAlignment="1">
      <alignment horizontal="center"/>
    </xf>
    <xf numFmtId="9" fontId="1" fillId="0" borderId="0" xfId="19" applyFont="1" applyAlignment="1">
      <alignment/>
    </xf>
    <xf numFmtId="9" fontId="7" fillId="0" borderId="0" xfId="19" applyFont="1" applyAlignment="1">
      <alignment horizontal="centerContinuous"/>
    </xf>
    <xf numFmtId="165" fontId="7" fillId="0" borderId="0" xfId="0" applyNumberFormat="1" applyFont="1" applyAlignment="1">
      <alignment horizontal="right"/>
    </xf>
    <xf numFmtId="9" fontId="7" fillId="0" borderId="0" xfId="19" applyNumberFormat="1" applyFont="1" applyAlignment="1">
      <alignment/>
    </xf>
    <xf numFmtId="0" fontId="3" fillId="0" borderId="0" xfId="0" applyFont="1" applyAlignment="1">
      <alignment horizontal="centerContinuous"/>
    </xf>
    <xf numFmtId="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/>
    </xf>
    <xf numFmtId="3" fontId="5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9" fontId="4" fillId="0" borderId="0" xfId="19" applyFont="1" applyAlignment="1">
      <alignment horizontal="left"/>
    </xf>
    <xf numFmtId="9" fontId="4" fillId="0" borderId="0" xfId="19" applyFont="1" applyAlignment="1">
      <alignment horizontal="center"/>
    </xf>
    <xf numFmtId="9" fontId="11" fillId="0" borderId="0" xfId="19" applyFont="1" applyAlignment="1">
      <alignment/>
    </xf>
    <xf numFmtId="0" fontId="11" fillId="0" borderId="0" xfId="0" applyFont="1" applyAlignment="1">
      <alignment/>
    </xf>
    <xf numFmtId="9" fontId="4" fillId="0" borderId="0" xfId="19" applyFont="1" applyAlignment="1">
      <alignment/>
    </xf>
    <xf numFmtId="9" fontId="5" fillId="0" borderId="0" xfId="19" applyFont="1" applyAlignment="1">
      <alignment horizontal="center"/>
    </xf>
    <xf numFmtId="0" fontId="10" fillId="0" borderId="0" xfId="0" applyFont="1" applyAlignment="1" quotePrefix="1">
      <alignment/>
    </xf>
    <xf numFmtId="9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9" fontId="3" fillId="0" borderId="0" xfId="19" applyFont="1" applyAlignment="1">
      <alignment/>
    </xf>
    <xf numFmtId="0" fontId="12" fillId="0" borderId="0" xfId="0" applyFont="1" applyFill="1" applyAlignment="1" applyProtection="1">
      <alignment horizontal="left"/>
      <protection locked="0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9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0" fontId="13" fillId="0" borderId="0" xfId="0" applyFont="1" applyFill="1" applyAlignment="1" applyProtection="1">
      <alignment horizontal="left" wrapText="1"/>
      <protection locked="0"/>
    </xf>
    <xf numFmtId="9" fontId="4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13" fillId="0" borderId="0" xfId="0" applyFont="1" applyFill="1" applyAlignment="1" applyProtection="1">
      <alignment horizontal="left" wrapText="1"/>
      <protection locked="0"/>
    </xf>
    <xf numFmtId="9" fontId="6" fillId="0" borderId="0" xfId="0" applyNumberFormat="1" applyFont="1" applyAlignment="1">
      <alignment horizontal="center"/>
    </xf>
    <xf numFmtId="9" fontId="6" fillId="0" borderId="0" xfId="19" applyFont="1" applyAlignment="1">
      <alignment horizontal="center"/>
    </xf>
    <xf numFmtId="9" fontId="7" fillId="0" borderId="0" xfId="19" applyFont="1" applyAlignment="1">
      <alignment horizontal="center"/>
    </xf>
    <xf numFmtId="9" fontId="3" fillId="0" borderId="0" xfId="19" applyFont="1" applyAlignment="1">
      <alignment horizontal="center"/>
    </xf>
    <xf numFmtId="9" fontId="4" fillId="0" borderId="0" xfId="19" applyFont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28575</xdr:colOff>
      <xdr:row>68</xdr:row>
      <xdr:rowOff>66675</xdr:rowOff>
    </xdr:from>
    <xdr:ext cx="2647950" cy="1076325"/>
    <xdr:sp>
      <xdr:nvSpPr>
        <xdr:cNvPr id="1" name="TextBox 1"/>
        <xdr:cNvSpPr txBox="1">
          <a:spLocks noChangeArrowheads="1"/>
        </xdr:cNvSpPr>
      </xdr:nvSpPr>
      <xdr:spPr>
        <a:xfrm>
          <a:off x="5848350" y="11725275"/>
          <a:ext cx="264795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Note:  Does not include enrollees in the following
categories:
Coast Guard = 14,033
TRICARE Prime Remote = 42,348
Noncatchment DMIS ID and AFLOAT = 6,919
USTFs = 97,686</a:t>
          </a:r>
        </a:p>
      </xdr:txBody>
    </xdr:sp>
    <xdr:clientData/>
  </xdr:oneCellAnchor>
  <xdr:oneCellAnchor>
    <xdr:from>
      <xdr:col>8</xdr:col>
      <xdr:colOff>800100</xdr:colOff>
      <xdr:row>160</xdr:row>
      <xdr:rowOff>28575</xdr:rowOff>
    </xdr:from>
    <xdr:ext cx="104775" cy="180975"/>
    <xdr:sp>
      <xdr:nvSpPr>
        <xdr:cNvPr id="2" name="TextBox 4"/>
        <xdr:cNvSpPr txBox="1">
          <a:spLocks noChangeArrowheads="1"/>
        </xdr:cNvSpPr>
      </xdr:nvSpPr>
      <xdr:spPr>
        <a:xfrm>
          <a:off x="7600950" y="2739390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ma\RM%20Shared\PB&amp;E\03%20PB%20(Dec%2001)\PB-11\PB-11%20Army%20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ma\RM%20Shared\PB&amp;E\03%20PB%20(Dec%2001)\PB-11\PB-11%20Navy%20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ma\RM%20Shared\PB&amp;E\03%20PB%20(Dec%2001)\PB-11\PB-11%20Air%20Force%20Fin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ma\RM%20Shared\PB&amp;E\03%20PB%20(Dec%2001)\PB-11\PB-11%20TMA%20Fin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ma\RM%20Shared\PB&amp;E\03-07%20%20POM-BES%20(Sept%2001)\Network\PB-11\PB-11%20Total%20DHP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BAG"/>
      <sheetName val="Special Interest"/>
      <sheetName val="Procurement"/>
      <sheetName val="RDTE"/>
      <sheetName val="Personnel Summary - Mil"/>
      <sheetName val="Personnel Summary - Civ"/>
      <sheetName val="Personnel Summary - Lead Agents"/>
      <sheetName val="Medical Workload Data"/>
    </sheetNames>
    <sheetDataSet>
      <sheetData sheetId="0">
        <row r="36">
          <cell r="G36">
            <v>349339</v>
          </cell>
          <cell r="H36">
            <v>354700</v>
          </cell>
        </row>
        <row r="37">
          <cell r="G37">
            <v>0</v>
          </cell>
          <cell r="H37">
            <v>0</v>
          </cell>
        </row>
      </sheetData>
      <sheetData sheetId="8">
        <row r="30">
          <cell r="F30">
            <v>28</v>
          </cell>
          <cell r="G30">
            <v>28</v>
          </cell>
          <cell r="H30">
            <v>28</v>
          </cell>
        </row>
        <row r="31">
          <cell r="F31">
            <v>1681</v>
          </cell>
          <cell r="G31">
            <v>1639</v>
          </cell>
          <cell r="H31">
            <v>1623</v>
          </cell>
        </row>
        <row r="32">
          <cell r="F32">
            <v>154</v>
          </cell>
          <cell r="G32">
            <v>150</v>
          </cell>
          <cell r="H32">
            <v>150</v>
          </cell>
        </row>
        <row r="44">
          <cell r="F44">
            <v>160060</v>
          </cell>
        </row>
        <row r="45">
          <cell r="F45">
            <v>131149</v>
          </cell>
        </row>
        <row r="46">
          <cell r="F46">
            <v>153596</v>
          </cell>
        </row>
        <row r="47">
          <cell r="F47">
            <v>24338</v>
          </cell>
        </row>
        <row r="48">
          <cell r="F48">
            <v>88292</v>
          </cell>
        </row>
        <row r="49">
          <cell r="F49">
            <v>187757</v>
          </cell>
        </row>
        <row r="50">
          <cell r="F50">
            <v>49242</v>
          </cell>
        </row>
        <row r="51">
          <cell r="F51">
            <v>105217</v>
          </cell>
        </row>
        <row r="52">
          <cell r="F52">
            <v>10945</v>
          </cell>
        </row>
        <row r="53">
          <cell r="F53">
            <v>5577</v>
          </cell>
        </row>
        <row r="54">
          <cell r="F54">
            <v>68950</v>
          </cell>
        </row>
        <row r="55">
          <cell r="F55">
            <v>985123</v>
          </cell>
        </row>
        <row r="56">
          <cell r="F56">
            <v>46942</v>
          </cell>
        </row>
        <row r="57">
          <cell r="F57">
            <v>14595</v>
          </cell>
        </row>
        <row r="58">
          <cell r="F58">
            <v>173982</v>
          </cell>
        </row>
        <row r="59">
          <cell r="F59">
            <v>1220642</v>
          </cell>
        </row>
        <row r="88">
          <cell r="F88">
            <v>131905</v>
          </cell>
          <cell r="G88">
            <v>131147</v>
          </cell>
          <cell r="H88">
            <v>130393</v>
          </cell>
        </row>
        <row r="89">
          <cell r="F89">
            <v>146933</v>
          </cell>
          <cell r="G89">
            <v>146933</v>
          </cell>
          <cell r="H89">
            <v>146933</v>
          </cell>
        </row>
        <row r="90">
          <cell r="F90">
            <v>484205</v>
          </cell>
          <cell r="G90">
            <v>484205</v>
          </cell>
          <cell r="H90">
            <v>484205</v>
          </cell>
        </row>
        <row r="92">
          <cell r="F92">
            <v>13630000</v>
          </cell>
          <cell r="G92">
            <v>13630000</v>
          </cell>
          <cell r="H92">
            <v>13630000</v>
          </cell>
        </row>
        <row r="93">
          <cell r="F93">
            <v>403275</v>
          </cell>
          <cell r="G93">
            <v>405426</v>
          </cell>
          <cell r="H93">
            <v>405426</v>
          </cell>
        </row>
        <row r="94">
          <cell r="F94">
            <v>89391</v>
          </cell>
          <cell r="G94">
            <v>89884</v>
          </cell>
          <cell r="H94">
            <v>89884</v>
          </cell>
        </row>
        <row r="98">
          <cell r="F98">
            <v>3050995</v>
          </cell>
          <cell r="G98">
            <v>3203544</v>
          </cell>
          <cell r="H98">
            <v>3363721</v>
          </cell>
        </row>
        <row r="99">
          <cell r="F99">
            <v>786153</v>
          </cell>
          <cell r="G99">
            <v>825460</v>
          </cell>
          <cell r="H99">
            <v>866733</v>
          </cell>
        </row>
        <row r="102">
          <cell r="F102">
            <v>2646044</v>
          </cell>
          <cell r="G102">
            <v>2778346</v>
          </cell>
          <cell r="H102">
            <v>2917263</v>
          </cell>
        </row>
        <row r="103">
          <cell r="F103">
            <v>404951</v>
          </cell>
          <cell r="G103">
            <v>425198</v>
          </cell>
          <cell r="H103">
            <v>446458</v>
          </cell>
        </row>
        <row r="107">
          <cell r="F107">
            <v>426307</v>
          </cell>
          <cell r="G107">
            <v>447622</v>
          </cell>
          <cell r="H107">
            <v>470003</v>
          </cell>
        </row>
        <row r="108">
          <cell r="F108">
            <v>359846</v>
          </cell>
          <cell r="G108">
            <v>377838</v>
          </cell>
          <cell r="H108">
            <v>396730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BAG"/>
      <sheetName val="Special Interest"/>
      <sheetName val="Procurement"/>
      <sheetName val="RDTE"/>
      <sheetName val="Personnel Summary - Mil"/>
      <sheetName val="Personnel Summary - Lead Agents"/>
      <sheetName val="Personnel Summary - Civ"/>
      <sheetName val="Medical Workload Data"/>
    </sheetNames>
    <sheetDataSet>
      <sheetData sheetId="0">
        <row r="36">
          <cell r="G36">
            <v>12948</v>
          </cell>
          <cell r="H36">
            <v>42899</v>
          </cell>
        </row>
        <row r="37">
          <cell r="H37">
            <v>0</v>
          </cell>
        </row>
      </sheetData>
      <sheetData sheetId="8">
        <row r="34">
          <cell r="F34">
            <v>23</v>
          </cell>
          <cell r="G34">
            <v>23</v>
          </cell>
          <cell r="H34">
            <v>23</v>
          </cell>
        </row>
        <row r="35">
          <cell r="F35">
            <v>1296</v>
          </cell>
          <cell r="G35">
            <v>1296</v>
          </cell>
          <cell r="H35">
            <v>1296</v>
          </cell>
        </row>
        <row r="36">
          <cell r="F36">
            <v>309</v>
          </cell>
          <cell r="G36">
            <v>312</v>
          </cell>
          <cell r="H36">
            <v>312</v>
          </cell>
        </row>
        <row r="48">
          <cell r="F48">
            <v>117413</v>
          </cell>
        </row>
        <row r="49">
          <cell r="F49">
            <v>204731</v>
          </cell>
        </row>
        <row r="50">
          <cell r="F50">
            <v>113028</v>
          </cell>
        </row>
        <row r="51">
          <cell r="F51">
            <v>39244</v>
          </cell>
        </row>
        <row r="52">
          <cell r="F52">
            <v>20514</v>
          </cell>
        </row>
        <row r="53">
          <cell r="F53">
            <v>17162</v>
          </cell>
        </row>
        <row r="54">
          <cell r="F54">
            <v>3180</v>
          </cell>
        </row>
        <row r="55">
          <cell r="F55">
            <v>0</v>
          </cell>
        </row>
        <row r="56">
          <cell r="F56">
            <v>242510</v>
          </cell>
        </row>
        <row r="57">
          <cell r="F57">
            <v>10361</v>
          </cell>
        </row>
        <row r="58">
          <cell r="F58">
            <v>55913</v>
          </cell>
        </row>
        <row r="59">
          <cell r="F59">
            <v>824056</v>
          </cell>
        </row>
        <row r="60">
          <cell r="F60">
            <v>29399</v>
          </cell>
        </row>
        <row r="61">
          <cell r="F61">
            <v>0</v>
          </cell>
        </row>
        <row r="62">
          <cell r="F62">
            <v>94896</v>
          </cell>
        </row>
        <row r="63">
          <cell r="F63">
            <v>948351</v>
          </cell>
        </row>
        <row r="93">
          <cell r="F93">
            <v>95823</v>
          </cell>
          <cell r="G93">
            <v>96044</v>
          </cell>
          <cell r="H93">
            <v>96121</v>
          </cell>
        </row>
        <row r="94">
          <cell r="F94">
            <v>104211</v>
          </cell>
          <cell r="G94">
            <v>104577</v>
          </cell>
          <cell r="H94">
            <v>105004</v>
          </cell>
        </row>
        <row r="95">
          <cell r="F95">
            <v>311424</v>
          </cell>
          <cell r="G95">
            <v>312143</v>
          </cell>
          <cell r="H95">
            <v>312393</v>
          </cell>
        </row>
        <row r="97">
          <cell r="F97">
            <v>9199211</v>
          </cell>
          <cell r="G97">
            <v>9204371</v>
          </cell>
          <cell r="H97">
            <v>9216422</v>
          </cell>
        </row>
        <row r="98">
          <cell r="F98">
            <v>266779</v>
          </cell>
          <cell r="G98">
            <v>266823</v>
          </cell>
          <cell r="H98">
            <v>266898</v>
          </cell>
        </row>
        <row r="99">
          <cell r="F99">
            <v>51847</v>
          </cell>
          <cell r="G99">
            <v>49258</v>
          </cell>
          <cell r="H99">
            <v>48888</v>
          </cell>
        </row>
        <row r="103">
          <cell r="F103">
            <v>3540028</v>
          </cell>
          <cell r="G103">
            <v>3904729</v>
          </cell>
          <cell r="H103">
            <v>3954729</v>
          </cell>
        </row>
        <row r="104">
          <cell r="F104">
            <v>809367</v>
          </cell>
          <cell r="G104">
            <v>875902</v>
          </cell>
          <cell r="H104">
            <v>875902</v>
          </cell>
        </row>
        <row r="107">
          <cell r="F107">
            <v>3334419</v>
          </cell>
          <cell r="G107">
            <v>3681172</v>
          </cell>
          <cell r="H107">
            <v>3731172</v>
          </cell>
        </row>
        <row r="108">
          <cell r="F108">
            <v>205609</v>
          </cell>
          <cell r="G108">
            <v>223557</v>
          </cell>
          <cell r="H108">
            <v>223557</v>
          </cell>
        </row>
        <row r="112">
          <cell r="F112">
            <v>518820</v>
          </cell>
          <cell r="G112">
            <v>562111</v>
          </cell>
          <cell r="H112">
            <v>562111</v>
          </cell>
        </row>
        <row r="113">
          <cell r="F113">
            <v>290547</v>
          </cell>
          <cell r="G113">
            <v>313791</v>
          </cell>
          <cell r="H113">
            <v>313791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BAG"/>
      <sheetName val="Special Interest"/>
      <sheetName val="Procurement"/>
      <sheetName val="RDTE"/>
      <sheetName val="Personnel Summary - Mil"/>
      <sheetName val="Personnel Summary - Civ"/>
      <sheetName val="Personnel Summary - Lead Agents"/>
      <sheetName val="Medical Workload Data"/>
    </sheetNames>
    <sheetDataSet>
      <sheetData sheetId="0">
        <row r="36">
          <cell r="G36">
            <v>0</v>
          </cell>
          <cell r="H36">
            <v>2534</v>
          </cell>
        </row>
        <row r="37">
          <cell r="G37">
            <v>0</v>
          </cell>
          <cell r="H37">
            <v>0</v>
          </cell>
        </row>
      </sheetData>
      <sheetData sheetId="8">
        <row r="34">
          <cell r="F34">
            <v>25</v>
          </cell>
          <cell r="G34">
            <v>25</v>
          </cell>
          <cell r="H34">
            <v>25</v>
          </cell>
        </row>
        <row r="35">
          <cell r="F35">
            <v>874</v>
          </cell>
          <cell r="G35">
            <v>874</v>
          </cell>
          <cell r="H35">
            <v>874</v>
          </cell>
        </row>
        <row r="36">
          <cell r="F36">
            <v>52</v>
          </cell>
          <cell r="G36">
            <v>51</v>
          </cell>
          <cell r="H36">
            <v>51</v>
          </cell>
        </row>
        <row r="48">
          <cell r="F48">
            <v>74743</v>
          </cell>
        </row>
        <row r="49">
          <cell r="F49">
            <v>53900</v>
          </cell>
        </row>
        <row r="50">
          <cell r="F50">
            <v>97493</v>
          </cell>
        </row>
        <row r="51">
          <cell r="F51">
            <v>113294</v>
          </cell>
        </row>
        <row r="52">
          <cell r="F52">
            <v>59735</v>
          </cell>
        </row>
        <row r="53">
          <cell r="F53">
            <v>187192</v>
          </cell>
        </row>
        <row r="54">
          <cell r="F54">
            <v>115319</v>
          </cell>
        </row>
        <row r="55">
          <cell r="F55">
            <v>173079</v>
          </cell>
        </row>
        <row r="56">
          <cell r="F56">
            <v>27283</v>
          </cell>
        </row>
        <row r="57">
          <cell r="F57">
            <v>45367</v>
          </cell>
        </row>
        <row r="58">
          <cell r="F58">
            <v>24564</v>
          </cell>
        </row>
        <row r="60">
          <cell r="F60">
            <v>13804</v>
          </cell>
        </row>
        <row r="61">
          <cell r="F61">
            <v>37030</v>
          </cell>
        </row>
        <row r="62">
          <cell r="F62">
            <v>126201</v>
          </cell>
        </row>
        <row r="63">
          <cell r="F63">
            <v>1149004</v>
          </cell>
        </row>
        <row r="93">
          <cell r="F93">
            <v>62619</v>
          </cell>
          <cell r="G93">
            <v>62619</v>
          </cell>
          <cell r="H93">
            <v>62619</v>
          </cell>
        </row>
        <row r="94">
          <cell r="F94">
            <v>69546</v>
          </cell>
          <cell r="G94">
            <v>69546</v>
          </cell>
          <cell r="H94">
            <v>69546</v>
          </cell>
        </row>
        <row r="95">
          <cell r="F95">
            <v>212482</v>
          </cell>
          <cell r="G95">
            <v>212482</v>
          </cell>
          <cell r="H95">
            <v>212482</v>
          </cell>
        </row>
        <row r="97">
          <cell r="F97">
            <v>9176258</v>
          </cell>
          <cell r="G97">
            <v>9176258</v>
          </cell>
          <cell r="H97">
            <v>9176258</v>
          </cell>
        </row>
        <row r="98">
          <cell r="F98">
            <v>2755288</v>
          </cell>
          <cell r="G98">
            <v>2755288</v>
          </cell>
          <cell r="H98">
            <v>2755288</v>
          </cell>
        </row>
        <row r="99">
          <cell r="F99">
            <v>55057</v>
          </cell>
          <cell r="G99">
            <v>55057</v>
          </cell>
          <cell r="H99">
            <v>55057</v>
          </cell>
        </row>
        <row r="103">
          <cell r="F103">
            <v>2259205</v>
          </cell>
          <cell r="G103">
            <v>2111207</v>
          </cell>
          <cell r="H103">
            <v>2111207</v>
          </cell>
        </row>
        <row r="104">
          <cell r="F104">
            <v>631802</v>
          </cell>
          <cell r="G104">
            <v>579327</v>
          </cell>
          <cell r="H104">
            <v>579327</v>
          </cell>
        </row>
        <row r="107">
          <cell r="F107">
            <v>1945768</v>
          </cell>
          <cell r="G107">
            <v>1829779</v>
          </cell>
          <cell r="H107">
            <v>1829779</v>
          </cell>
        </row>
        <row r="108">
          <cell r="F108">
            <v>313437</v>
          </cell>
          <cell r="G108">
            <v>281428</v>
          </cell>
          <cell r="H108">
            <v>281428</v>
          </cell>
        </row>
        <row r="112">
          <cell r="F112">
            <v>318290</v>
          </cell>
          <cell r="G112">
            <v>288311</v>
          </cell>
          <cell r="H112">
            <v>288311</v>
          </cell>
        </row>
        <row r="113">
          <cell r="F113">
            <v>313511</v>
          </cell>
          <cell r="G113">
            <v>291016</v>
          </cell>
          <cell r="H113">
            <v>291016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BAG"/>
      <sheetName val="Special Interest"/>
      <sheetName val="Procurement"/>
      <sheetName val="RDTE"/>
      <sheetName val="Personnel Summary - Mil"/>
      <sheetName val="Personnel Summary - Civ"/>
      <sheetName val="Personnel Summary - Lead Agents"/>
      <sheetName val="Medical Workload Data"/>
    </sheetNames>
    <sheetDataSet>
      <sheetData sheetId="0">
        <row r="36">
          <cell r="G36">
            <v>0</v>
          </cell>
          <cell r="H36">
            <v>0</v>
          </cell>
        </row>
        <row r="37">
          <cell r="G37">
            <v>69454</v>
          </cell>
          <cell r="H37">
            <v>63671</v>
          </cell>
        </row>
      </sheetData>
      <sheetData sheetId="8">
        <row r="76">
          <cell r="F7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BAG"/>
      <sheetName val="Special Interest"/>
      <sheetName val="Procurement"/>
      <sheetName val="RDTE"/>
      <sheetName val="Personnel Summary - Mil"/>
      <sheetName val="Personnel Summary - Civ"/>
      <sheetName val="Personnel Summary - Lead Agents"/>
      <sheetName val="Medical Workload Data"/>
    </sheetNames>
    <sheetDataSet>
      <sheetData sheetId="1">
        <row r="12">
          <cell r="G12" t="str">
            <v>FY 2001</v>
          </cell>
          <cell r="H12" t="str">
            <v>FY 2002</v>
          </cell>
          <cell r="I12" t="str">
            <v>FY 2003</v>
          </cell>
          <cell r="J12" t="str">
            <v>FY01-02 Change</v>
          </cell>
          <cell r="L12" t="str">
            <v>FY02-03 Change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view="pageBreakPreview" zoomScale="50" zoomScaleNormal="60" zoomScaleSheetLayoutView="50" workbookViewId="0" topLeftCell="A17">
      <selection activeCell="K43" sqref="K43"/>
    </sheetView>
  </sheetViews>
  <sheetFormatPr defaultColWidth="9.140625" defaultRowHeight="12.75"/>
  <cols>
    <col min="1" max="1" width="2.7109375" style="25" customWidth="1"/>
    <col min="2" max="2" width="4.7109375" style="25" customWidth="1"/>
    <col min="3" max="5" width="9.140625" style="25" customWidth="1"/>
    <col min="6" max="6" width="26.8515625" style="25" customWidth="1"/>
    <col min="7" max="7" width="14.7109375" style="25" customWidth="1"/>
    <col min="8" max="9" width="14.8515625" style="25" customWidth="1"/>
    <col min="10" max="10" width="15.57421875" style="25" customWidth="1"/>
    <col min="11" max="11" width="13.28125" style="25" customWidth="1"/>
    <col min="12" max="12" width="15.57421875" style="55" customWidth="1"/>
    <col min="13" max="13" width="12.7109375" style="25" customWidth="1"/>
    <col min="14" max="14" width="11.28125" style="55" bestFit="1" customWidth="1"/>
    <col min="15" max="15" width="12.7109375" style="25" bestFit="1" customWidth="1"/>
    <col min="16" max="16" width="11.28125" style="55" customWidth="1"/>
    <col min="17" max="16384" width="9.140625" style="25" customWidth="1"/>
  </cols>
  <sheetData>
    <row r="1" spans="1:16" ht="16.5">
      <c r="A1" s="93" t="s">
        <v>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6.5">
      <c r="A2" s="93" t="s">
        <v>283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ht="16.5">
      <c r="A3" s="93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4" ht="16.5">
      <c r="A4" s="66"/>
      <c r="B4" s="32"/>
      <c r="C4" s="32"/>
      <c r="D4" s="32"/>
      <c r="E4" s="32"/>
      <c r="F4" s="32"/>
      <c r="G4" s="32"/>
      <c r="H4" s="32"/>
      <c r="I4" s="32"/>
      <c r="J4" s="32"/>
      <c r="K4" s="32"/>
      <c r="L4" s="53"/>
      <c r="M4" s="32"/>
      <c r="N4" s="53"/>
    </row>
    <row r="6" spans="1:16" ht="16.5">
      <c r="A6" s="93" t="s">
        <v>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</row>
    <row r="7" spans="1:16" ht="15.75">
      <c r="A7" s="92" t="s">
        <v>3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1:16" ht="15.7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25"/>
      <c r="P8" s="25"/>
    </row>
    <row r="9" spans="7:16" ht="15.75">
      <c r="G9" s="10" t="s">
        <v>201</v>
      </c>
      <c r="H9" s="10" t="s">
        <v>211</v>
      </c>
      <c r="I9" s="10" t="s">
        <v>277</v>
      </c>
      <c r="J9" s="92" t="s">
        <v>212</v>
      </c>
      <c r="K9" s="92"/>
      <c r="L9" s="92" t="s">
        <v>278</v>
      </c>
      <c r="M9" s="92"/>
      <c r="N9" s="25"/>
      <c r="P9" s="25"/>
    </row>
    <row r="10" spans="7:16" ht="15.75">
      <c r="G10" s="11" t="s">
        <v>22</v>
      </c>
      <c r="H10" s="11" t="s">
        <v>23</v>
      </c>
      <c r="I10" s="11" t="s">
        <v>23</v>
      </c>
      <c r="J10" s="11" t="s">
        <v>24</v>
      </c>
      <c r="K10" s="54" t="s">
        <v>25</v>
      </c>
      <c r="L10" s="11" t="s">
        <v>24</v>
      </c>
      <c r="M10" s="54" t="s">
        <v>25</v>
      </c>
      <c r="N10" s="25"/>
      <c r="P10" s="25"/>
    </row>
    <row r="11" spans="1:16" ht="16.5">
      <c r="A11" s="28" t="s">
        <v>287</v>
      </c>
      <c r="B11" s="27"/>
      <c r="C11" s="27"/>
      <c r="D11" s="27"/>
      <c r="E11" s="27"/>
      <c r="J11" s="9"/>
      <c r="K11" s="55"/>
      <c r="L11" s="9"/>
      <c r="M11" s="55"/>
      <c r="N11" s="25"/>
      <c r="P11" s="25"/>
    </row>
    <row r="12" spans="10:16" ht="15.75">
      <c r="J12" s="9"/>
      <c r="K12" s="55"/>
      <c r="L12" s="9"/>
      <c r="M12" s="55"/>
      <c r="N12" s="25"/>
      <c r="P12" s="25"/>
    </row>
    <row r="13" spans="2:16" ht="15.75">
      <c r="B13" s="25" t="s">
        <v>4</v>
      </c>
      <c r="G13" s="9">
        <f>+BAG!G22</f>
        <v>3935050</v>
      </c>
      <c r="H13" s="9">
        <f>+BAG!H22</f>
        <v>4851123.0818</v>
      </c>
      <c r="I13" s="9">
        <f>+BAG!I22</f>
        <v>4070810.60522474</v>
      </c>
      <c r="J13" s="9">
        <f>H13-G13</f>
        <v>916073.0817999998</v>
      </c>
      <c r="K13" s="55">
        <f aca="true" t="shared" si="0" ref="K13:K20">IF(G13=0,0,J13/G13)</f>
        <v>0.232798333388394</v>
      </c>
      <c r="L13" s="9">
        <f>I13-H13</f>
        <v>-780312.4765752596</v>
      </c>
      <c r="M13" s="55">
        <f aca="true" t="shared" si="1" ref="M13:M20">IF(H13=0,0,L13/H13)</f>
        <v>-0.1608519230325787</v>
      </c>
      <c r="N13" s="25"/>
      <c r="P13" s="25"/>
    </row>
    <row r="14" spans="2:16" ht="15.75">
      <c r="B14" s="25" t="s">
        <v>5</v>
      </c>
      <c r="G14" s="9">
        <f>+BAG!G31</f>
        <v>6191544</v>
      </c>
      <c r="H14" s="9">
        <f>+BAG!H31</f>
        <v>10242572.033434648</v>
      </c>
      <c r="I14" s="9">
        <f>+BAG!I31</f>
        <v>7159673.719120449</v>
      </c>
      <c r="J14" s="9">
        <f aca="true" t="shared" si="2" ref="J14:J40">H14-G14</f>
        <v>4051028.033434648</v>
      </c>
      <c r="K14" s="55">
        <f t="shared" si="0"/>
        <v>0.6542839772170961</v>
      </c>
      <c r="L14" s="9">
        <f aca="true" t="shared" si="3" ref="L14:L40">I14-H14</f>
        <v>-3082898.3143141987</v>
      </c>
      <c r="M14" s="55">
        <f t="shared" si="1"/>
        <v>-0.3009886876314609</v>
      </c>
      <c r="N14" s="25"/>
      <c r="P14" s="25"/>
    </row>
    <row r="15" spans="2:16" ht="15.75">
      <c r="B15" s="25" t="s">
        <v>6</v>
      </c>
      <c r="G15" s="9">
        <f>+BAG!G44</f>
        <v>892563</v>
      </c>
      <c r="H15" s="9">
        <f>+BAG!H44</f>
        <v>779893.8166623423</v>
      </c>
      <c r="I15" s="9">
        <f>+BAG!I44</f>
        <v>809548.3768291418</v>
      </c>
      <c r="J15" s="9">
        <f t="shared" si="2"/>
        <v>-112669.18333765771</v>
      </c>
      <c r="K15" s="55">
        <f t="shared" si="0"/>
        <v>-0.12623107090217464</v>
      </c>
      <c r="L15" s="9">
        <f t="shared" si="3"/>
        <v>29654.560166799463</v>
      </c>
      <c r="M15" s="55">
        <f t="shared" si="1"/>
        <v>0.03802384316073954</v>
      </c>
      <c r="N15" s="25"/>
      <c r="P15" s="25"/>
    </row>
    <row r="16" spans="2:16" ht="15.75">
      <c r="B16" s="25" t="s">
        <v>54</v>
      </c>
      <c r="G16" s="9">
        <f>+BAG!G50</f>
        <v>330044</v>
      </c>
      <c r="H16" s="9">
        <f>+BAG!H50</f>
        <v>628124</v>
      </c>
      <c r="I16" s="9">
        <f>+BAG!I50</f>
        <v>666709</v>
      </c>
      <c r="J16" s="9">
        <f t="shared" si="2"/>
        <v>298080</v>
      </c>
      <c r="K16" s="55">
        <f t="shared" si="0"/>
        <v>0.9031523069651319</v>
      </c>
      <c r="L16" s="9">
        <f t="shared" si="3"/>
        <v>38585</v>
      </c>
      <c r="M16" s="55">
        <f t="shared" si="1"/>
        <v>0.06142895351873197</v>
      </c>
      <c r="N16" s="25"/>
      <c r="P16" s="25"/>
    </row>
    <row r="17" spans="2:16" ht="15.75">
      <c r="B17" s="25" t="s">
        <v>7</v>
      </c>
      <c r="G17" s="9">
        <f>+BAG!G56</f>
        <v>209550</v>
      </c>
      <c r="H17" s="9">
        <f>+BAG!H56</f>
        <v>227079.03424007611</v>
      </c>
      <c r="I17" s="9">
        <f>+BAG!I56</f>
        <v>221786.4794756</v>
      </c>
      <c r="J17" s="9">
        <f t="shared" si="2"/>
        <v>17529.034240076115</v>
      </c>
      <c r="K17" s="55">
        <f t="shared" si="0"/>
        <v>0.08365084342675311</v>
      </c>
      <c r="L17" s="9">
        <f t="shared" si="3"/>
        <v>-5292.55476447611</v>
      </c>
      <c r="M17" s="55">
        <f t="shared" si="1"/>
        <v>-0.023307104428146506</v>
      </c>
      <c r="N17" s="25"/>
      <c r="P17" s="25"/>
    </row>
    <row r="18" spans="2:16" ht="15.75">
      <c r="B18" s="25" t="s">
        <v>8</v>
      </c>
      <c r="G18" s="9">
        <f>+BAG!G63</f>
        <v>330380</v>
      </c>
      <c r="H18" s="9">
        <f>+BAG!H63</f>
        <v>330169.46272779524</v>
      </c>
      <c r="I18" s="9">
        <f>+BAG!I63</f>
        <v>350091.6310266263</v>
      </c>
      <c r="J18" s="9">
        <f t="shared" si="2"/>
        <v>-210.5372722047614</v>
      </c>
      <c r="K18" s="55">
        <f t="shared" si="0"/>
        <v>-0.000637257921801445</v>
      </c>
      <c r="L18" s="9">
        <f t="shared" si="3"/>
        <v>19922.168298831035</v>
      </c>
      <c r="M18" s="55">
        <f t="shared" si="1"/>
        <v>0.06033922136298734</v>
      </c>
      <c r="N18" s="25"/>
      <c r="P18" s="25"/>
    </row>
    <row r="19" spans="2:16" ht="15.75">
      <c r="B19" s="25" t="s">
        <v>9</v>
      </c>
      <c r="G19" s="13">
        <f>+BAG!G85</f>
        <v>969034</v>
      </c>
      <c r="H19" s="13">
        <f>+BAG!H85</f>
        <v>1015625.7076673708</v>
      </c>
      <c r="I19" s="13">
        <f>+BAG!I85</f>
        <v>1081651.0259996322</v>
      </c>
      <c r="J19" s="13">
        <f t="shared" si="2"/>
        <v>46591.70766737079</v>
      </c>
      <c r="K19" s="83">
        <f t="shared" si="0"/>
        <v>0.04808057061709991</v>
      </c>
      <c r="L19" s="13">
        <f t="shared" si="3"/>
        <v>66025.3183322614</v>
      </c>
      <c r="M19" s="83">
        <f t="shared" si="1"/>
        <v>0.06500949890674239</v>
      </c>
      <c r="N19" s="25"/>
      <c r="P19" s="25"/>
    </row>
    <row r="20" spans="3:16" ht="15.75">
      <c r="C20" s="25" t="s">
        <v>10</v>
      </c>
      <c r="G20" s="9">
        <f>SUM(G13:G19)</f>
        <v>12858165</v>
      </c>
      <c r="H20" s="9">
        <f>SUM(H13:H19)</f>
        <v>18074587.13653223</v>
      </c>
      <c r="I20" s="9">
        <f>SUM(I13:I19)</f>
        <v>14360270.83767619</v>
      </c>
      <c r="J20" s="9">
        <f t="shared" si="2"/>
        <v>5216422.136532228</v>
      </c>
      <c r="K20" s="55">
        <f t="shared" si="0"/>
        <v>0.40568946941746575</v>
      </c>
      <c r="L20" s="9">
        <f t="shared" si="3"/>
        <v>-3714316.2988560386</v>
      </c>
      <c r="M20" s="55">
        <f t="shared" si="1"/>
        <v>-0.2054993716204277</v>
      </c>
      <c r="N20" s="25"/>
      <c r="P20" s="25"/>
    </row>
    <row r="21" spans="7:16" ht="15.75">
      <c r="G21" s="9"/>
      <c r="H21" s="9"/>
      <c r="I21" s="9"/>
      <c r="J21" s="9"/>
      <c r="K21" s="55"/>
      <c r="L21" s="9"/>
      <c r="M21" s="55"/>
      <c r="N21" s="25"/>
      <c r="P21" s="25"/>
    </row>
    <row r="22" spans="1:16" ht="16.5">
      <c r="A22" s="28" t="s">
        <v>11</v>
      </c>
      <c r="B22" s="27"/>
      <c r="C22" s="27"/>
      <c r="G22" s="9"/>
      <c r="H22" s="9"/>
      <c r="I22" s="9"/>
      <c r="J22" s="9"/>
      <c r="K22" s="55"/>
      <c r="L22" s="9"/>
      <c r="M22" s="55"/>
      <c r="N22" s="25"/>
      <c r="P22" s="25"/>
    </row>
    <row r="23" spans="7:16" ht="15.75">
      <c r="G23" s="9"/>
      <c r="H23" s="9"/>
      <c r="I23" s="9"/>
      <c r="J23" s="9"/>
      <c r="K23" s="55"/>
      <c r="L23" s="9"/>
      <c r="M23" s="55"/>
      <c r="N23" s="25"/>
      <c r="P23" s="25"/>
    </row>
    <row r="24" spans="2:16" ht="15.75">
      <c r="B24" s="25" t="s">
        <v>12</v>
      </c>
      <c r="G24" s="9">
        <f>+Procurement!G14+Procurement!G26</f>
        <v>753</v>
      </c>
      <c r="H24" s="9">
        <f>+Procurement!H14+Procurement!H26</f>
        <v>753</v>
      </c>
      <c r="I24" s="9">
        <f>+Procurement!I14+Procurement!I26</f>
        <v>753</v>
      </c>
      <c r="J24" s="9">
        <f t="shared" si="2"/>
        <v>0</v>
      </c>
      <c r="K24" s="55">
        <f aca="true" t="shared" si="4" ref="K24:K32">IF(G24=0,0,J24/G24)</f>
        <v>0</v>
      </c>
      <c r="L24" s="9">
        <f t="shared" si="3"/>
        <v>0</v>
      </c>
      <c r="M24" s="55">
        <f aca="true" t="shared" si="5" ref="M24:M32">IF(H24=0,0,L24/H24)</f>
        <v>0</v>
      </c>
      <c r="N24" s="25"/>
      <c r="P24" s="25"/>
    </row>
    <row r="25" spans="2:16" ht="15.75">
      <c r="B25" s="25" t="s">
        <v>13</v>
      </c>
      <c r="G25" s="9">
        <f>+Procurement!G15+Procurement!G27</f>
        <v>10879</v>
      </c>
      <c r="H25" s="9">
        <f>+Procurement!H15+Procurement!H27</f>
        <v>3647</v>
      </c>
      <c r="I25" s="9">
        <f>+Procurement!I15+Procurement!I27</f>
        <v>1992</v>
      </c>
      <c r="J25" s="9">
        <f t="shared" si="2"/>
        <v>-7232</v>
      </c>
      <c r="K25" s="55">
        <f t="shared" si="4"/>
        <v>-0.6647669822593988</v>
      </c>
      <c r="L25" s="9">
        <f t="shared" si="3"/>
        <v>-1655</v>
      </c>
      <c r="M25" s="55">
        <f t="shared" si="5"/>
        <v>-0.45379764189745</v>
      </c>
      <c r="N25" s="25"/>
      <c r="P25" s="25"/>
    </row>
    <row r="26" spans="2:16" ht="15.75">
      <c r="B26" s="25" t="s">
        <v>14</v>
      </c>
      <c r="G26" s="9">
        <f>+Procurement!G16+Procurement!G28</f>
        <v>136168</v>
      </c>
      <c r="H26" s="9">
        <f>+Procurement!H16+Procurement!H28</f>
        <v>144958</v>
      </c>
      <c r="I26" s="9">
        <f>+Procurement!I16+Procurement!I28</f>
        <v>151178</v>
      </c>
      <c r="J26" s="9">
        <f t="shared" si="2"/>
        <v>8790</v>
      </c>
      <c r="K26" s="55">
        <f t="shared" si="4"/>
        <v>0.06455261147993654</v>
      </c>
      <c r="L26" s="9">
        <f t="shared" si="3"/>
        <v>6220</v>
      </c>
      <c r="M26" s="55">
        <f t="shared" si="5"/>
        <v>0.04290898053229211</v>
      </c>
      <c r="N26" s="25"/>
      <c r="P26" s="25"/>
    </row>
    <row r="27" spans="2:16" ht="15.75">
      <c r="B27" s="25" t="s">
        <v>15</v>
      </c>
      <c r="G27" s="9">
        <f>+Procurement!G17+Procurement!G29</f>
        <v>9600</v>
      </c>
      <c r="H27" s="9">
        <f>+Procurement!H17+Procurement!H29</f>
        <v>4779</v>
      </c>
      <c r="I27" s="9">
        <f>+Procurement!I17+Procurement!I29</f>
        <v>4946</v>
      </c>
      <c r="J27" s="9">
        <f t="shared" si="2"/>
        <v>-4821</v>
      </c>
      <c r="K27" s="55">
        <f t="shared" si="4"/>
        <v>-0.5021875</v>
      </c>
      <c r="L27" s="9">
        <f t="shared" si="3"/>
        <v>167</v>
      </c>
      <c r="M27" s="55">
        <f t="shared" si="5"/>
        <v>0.03494454906884285</v>
      </c>
      <c r="N27" s="25"/>
      <c r="P27" s="25"/>
    </row>
    <row r="28" spans="2:16" ht="15.75">
      <c r="B28" s="25" t="s">
        <v>16</v>
      </c>
      <c r="G28" s="9">
        <f>+Procurement!G18+Procurement!G30</f>
        <v>20472</v>
      </c>
      <c r="H28" s="9">
        <f>+Procurement!H18+Procurement!H30</f>
        <v>19591</v>
      </c>
      <c r="I28" s="9">
        <f>+Procurement!I18+Procurement!I30</f>
        <v>28333</v>
      </c>
      <c r="J28" s="9">
        <f t="shared" si="2"/>
        <v>-881</v>
      </c>
      <c r="K28" s="55">
        <f t="shared" si="4"/>
        <v>-0.043034388432981636</v>
      </c>
      <c r="L28" s="9">
        <f t="shared" si="3"/>
        <v>8742</v>
      </c>
      <c r="M28" s="55">
        <f t="shared" si="5"/>
        <v>0.44622530753917616</v>
      </c>
      <c r="N28" s="25"/>
      <c r="P28" s="25"/>
    </row>
    <row r="29" spans="2:16" ht="15.75">
      <c r="B29" s="25" t="s">
        <v>17</v>
      </c>
      <c r="G29" s="9">
        <f>+Procurement!G19+Procurement!G31</f>
        <v>9480</v>
      </c>
      <c r="H29" s="9">
        <f>+Procurement!H19+Procurement!H31</f>
        <v>9151</v>
      </c>
      <c r="I29" s="9">
        <f>+Procurement!I19+Procurement!I31</f>
        <v>9405</v>
      </c>
      <c r="J29" s="9">
        <f t="shared" si="2"/>
        <v>-329</v>
      </c>
      <c r="K29" s="55">
        <f t="shared" si="4"/>
        <v>-0.03470464135021097</v>
      </c>
      <c r="L29" s="9">
        <f t="shared" si="3"/>
        <v>254</v>
      </c>
      <c r="M29" s="55">
        <f t="shared" si="5"/>
        <v>0.027756529341055623</v>
      </c>
      <c r="N29" s="25"/>
      <c r="P29" s="25"/>
    </row>
    <row r="30" spans="2:16" ht="15.75">
      <c r="B30" s="25" t="s">
        <v>18</v>
      </c>
      <c r="G30" s="9">
        <f>+Procurement!G20+Procurement!G32</f>
        <v>7275</v>
      </c>
      <c r="H30" s="9">
        <f>+Procurement!H20+Procurement!H32</f>
        <v>6425</v>
      </c>
      <c r="I30" s="9">
        <f>+Procurement!I20+Procurement!I32</f>
        <v>6596</v>
      </c>
      <c r="J30" s="9">
        <f t="shared" si="2"/>
        <v>-850</v>
      </c>
      <c r="K30" s="55">
        <f t="shared" si="4"/>
        <v>-0.11683848797250859</v>
      </c>
      <c r="L30" s="9">
        <f t="shared" si="3"/>
        <v>171</v>
      </c>
      <c r="M30" s="55">
        <f t="shared" si="5"/>
        <v>0.0266147859922179</v>
      </c>
      <c r="N30" s="25"/>
      <c r="P30" s="25"/>
    </row>
    <row r="31" spans="2:16" ht="15.75">
      <c r="B31" s="25" t="s">
        <v>19</v>
      </c>
      <c r="G31" s="13">
        <f>+Procurement!G21+Procurement!G33</f>
        <v>95758</v>
      </c>
      <c r="H31" s="13">
        <f>+Procurement!H21+Procurement!H33</f>
        <v>78611</v>
      </c>
      <c r="I31" s="13">
        <f>+Procurement!I21+Procurement!I33</f>
        <v>75540</v>
      </c>
      <c r="J31" s="13">
        <f t="shared" si="2"/>
        <v>-17147</v>
      </c>
      <c r="K31" s="83">
        <f t="shared" si="4"/>
        <v>-0.17906597882161282</v>
      </c>
      <c r="L31" s="13">
        <f t="shared" si="3"/>
        <v>-3071</v>
      </c>
      <c r="M31" s="83">
        <f t="shared" si="5"/>
        <v>-0.03906577959827505</v>
      </c>
      <c r="N31" s="25"/>
      <c r="P31" s="25"/>
    </row>
    <row r="32" spans="3:16" ht="15.75">
      <c r="C32" s="25" t="s">
        <v>20</v>
      </c>
      <c r="G32" s="9">
        <f>SUM(G24:G31)</f>
        <v>290385</v>
      </c>
      <c r="H32" s="9">
        <f>SUM(H24:H31)</f>
        <v>267915</v>
      </c>
      <c r="I32" s="9">
        <f>SUM(I24:I31)</f>
        <v>278743</v>
      </c>
      <c r="J32" s="9">
        <f t="shared" si="2"/>
        <v>-22470</v>
      </c>
      <c r="K32" s="55">
        <f t="shared" si="4"/>
        <v>-0.07738002996022522</v>
      </c>
      <c r="L32" s="9">
        <f t="shared" si="3"/>
        <v>10828</v>
      </c>
      <c r="M32" s="55">
        <f t="shared" si="5"/>
        <v>0.040415803519773065</v>
      </c>
      <c r="N32" s="25"/>
      <c r="P32" s="25"/>
    </row>
    <row r="33" spans="7:16" ht="15.75">
      <c r="G33" s="9"/>
      <c r="H33" s="9"/>
      <c r="I33" s="9"/>
      <c r="J33" s="9"/>
      <c r="K33" s="55"/>
      <c r="L33" s="9"/>
      <c r="M33" s="55"/>
      <c r="N33" s="25"/>
      <c r="P33" s="25"/>
    </row>
    <row r="34" spans="1:16" ht="16.5">
      <c r="A34" s="28" t="s">
        <v>207</v>
      </c>
      <c r="G34" s="9"/>
      <c r="H34" s="9"/>
      <c r="I34" s="9"/>
      <c r="J34" s="9"/>
      <c r="K34" s="55"/>
      <c r="L34" s="9"/>
      <c r="M34" s="55"/>
      <c r="N34" s="25"/>
      <c r="P34" s="25"/>
    </row>
    <row r="35" spans="7:16" ht="15.75">
      <c r="G35" s="9"/>
      <c r="H35" s="9"/>
      <c r="I35" s="9"/>
      <c r="J35" s="9"/>
      <c r="K35" s="55"/>
      <c r="L35" s="9"/>
      <c r="M35" s="55"/>
      <c r="N35" s="25"/>
      <c r="P35" s="25"/>
    </row>
    <row r="36" spans="2:16" ht="15.75">
      <c r="B36" s="25" t="s">
        <v>208</v>
      </c>
      <c r="G36" s="9">
        <f>'[3]Summary'!G36+'[4]Summary'!G36+'[2]Summary'!G36+'[1]Summary'!G36</f>
        <v>362287</v>
      </c>
      <c r="H36" s="9">
        <f>+'[1]Summary'!H36+'[2]Summary'!H36+'[3]Summary'!H36+'[4]Summary'!H36</f>
        <v>400133</v>
      </c>
      <c r="I36" s="9">
        <f>RDTE!I16</f>
        <v>0</v>
      </c>
      <c r="J36" s="9">
        <f t="shared" si="2"/>
        <v>37846</v>
      </c>
      <c r="K36" s="55">
        <f>IF(G36=0,0,J36/G36)</f>
        <v>0.10446414030865032</v>
      </c>
      <c r="L36" s="9">
        <f t="shared" si="3"/>
        <v>-400133</v>
      </c>
      <c r="M36" s="55">
        <f>IF(H36=0,0,L36/H36)</f>
        <v>-1</v>
      </c>
      <c r="N36" s="25"/>
      <c r="P36" s="25"/>
    </row>
    <row r="37" spans="2:16" ht="15.75">
      <c r="B37" s="25" t="s">
        <v>209</v>
      </c>
      <c r="G37" s="13">
        <f>'[3]Summary'!G37+'[4]Summary'!G37+'[1]Summary'!G37</f>
        <v>69454</v>
      </c>
      <c r="H37" s="13">
        <f>+'[1]Summary'!H37+'[2]Summary'!H37+'[3]Summary'!H37+'[4]Summary'!H37</f>
        <v>63671</v>
      </c>
      <c r="I37" s="13">
        <f>RDTE!I18</f>
        <v>67214</v>
      </c>
      <c r="J37" s="13">
        <f t="shared" si="2"/>
        <v>-5783</v>
      </c>
      <c r="K37" s="83">
        <f>IF(G37=0,0,J37/G37)</f>
        <v>-0.08326374290897573</v>
      </c>
      <c r="L37" s="13">
        <f t="shared" si="3"/>
        <v>3543</v>
      </c>
      <c r="M37" s="83">
        <f>IF(H37=0,0,L37/H37)</f>
        <v>0.0556454272745834</v>
      </c>
      <c r="N37" s="25"/>
      <c r="P37" s="25"/>
    </row>
    <row r="38" spans="3:16" ht="15.75">
      <c r="C38" s="25" t="s">
        <v>210</v>
      </c>
      <c r="G38" s="9">
        <f>SUM(G36:G37)</f>
        <v>431741</v>
      </c>
      <c r="H38" s="9">
        <f>SUM(H36:H37)</f>
        <v>463804</v>
      </c>
      <c r="I38" s="9">
        <f>SUM(I36:I37)</f>
        <v>67214</v>
      </c>
      <c r="J38" s="9">
        <f t="shared" si="2"/>
        <v>32063</v>
      </c>
      <c r="K38" s="55">
        <f>IF(G38=0,0,J38/G38)</f>
        <v>0.07426443168473691</v>
      </c>
      <c r="L38" s="9">
        <f t="shared" si="3"/>
        <v>-396590</v>
      </c>
      <c r="M38" s="55">
        <f>IF(H38=0,0,L38/H38)</f>
        <v>-0.8550810256056438</v>
      </c>
      <c r="N38" s="25"/>
      <c r="P38" s="25"/>
    </row>
    <row r="39" spans="7:16" ht="15.75">
      <c r="G39" s="9"/>
      <c r="H39" s="9"/>
      <c r="I39" s="9"/>
      <c r="J39" s="9"/>
      <c r="K39" s="55"/>
      <c r="L39" s="9"/>
      <c r="M39" s="55"/>
      <c r="N39" s="25"/>
      <c r="P39" s="25"/>
    </row>
    <row r="40" spans="2:16" ht="16.5">
      <c r="B40" s="26" t="s">
        <v>21</v>
      </c>
      <c r="G40" s="9">
        <f>G32+G20+G38</f>
        <v>13580291</v>
      </c>
      <c r="H40" s="9">
        <f>H32+H20+H38</f>
        <v>18806306.13653223</v>
      </c>
      <c r="I40" s="9">
        <f>I32+I20+I38</f>
        <v>14706227.83767619</v>
      </c>
      <c r="J40" s="9">
        <f t="shared" si="2"/>
        <v>5226015.136532228</v>
      </c>
      <c r="K40" s="55">
        <f>IF(G40=0,0,J40/G40)</f>
        <v>0.3848235016858054</v>
      </c>
      <c r="L40" s="9">
        <f t="shared" si="3"/>
        <v>-4100078.2988560386</v>
      </c>
      <c r="M40" s="55">
        <f>IF(H40=0,0,L40/H40)</f>
        <v>-0.218016141452224</v>
      </c>
      <c r="N40" s="25"/>
      <c r="P40" s="25"/>
    </row>
    <row r="41" spans="11:16" ht="15.75">
      <c r="K41" s="55"/>
      <c r="L41" s="25"/>
      <c r="M41" s="55"/>
      <c r="N41" s="25"/>
      <c r="P41" s="25"/>
    </row>
    <row r="42" spans="2:16" ht="16.5">
      <c r="B42" s="26" t="s">
        <v>288</v>
      </c>
      <c r="C42" s="26"/>
      <c r="D42" s="26"/>
      <c r="G42" s="9" t="s">
        <v>289</v>
      </c>
      <c r="H42" s="9" t="s">
        <v>289</v>
      </c>
      <c r="I42" s="9">
        <v>5098000</v>
      </c>
      <c r="K42" s="55"/>
      <c r="L42" s="25"/>
      <c r="M42" s="55"/>
      <c r="N42" s="25"/>
      <c r="P42" s="25"/>
    </row>
    <row r="43" spans="2:16" ht="16.5">
      <c r="B43" s="26"/>
      <c r="C43" s="26"/>
      <c r="D43" s="26"/>
      <c r="G43" s="9"/>
      <c r="H43" s="9"/>
      <c r="I43" s="9"/>
      <c r="K43" s="55"/>
      <c r="L43" s="25"/>
      <c r="M43" s="55"/>
      <c r="N43" s="25"/>
      <c r="P43" s="25"/>
    </row>
    <row r="44" spans="2:16" ht="16.5">
      <c r="B44" s="26" t="s">
        <v>290</v>
      </c>
      <c r="C44" s="26"/>
      <c r="D44" s="26"/>
      <c r="G44" s="9">
        <f>SUM(G40:G43)</f>
        <v>13580291</v>
      </c>
      <c r="H44" s="9">
        <f>SUM(H40:H43)</f>
        <v>18806306.13653223</v>
      </c>
      <c r="I44" s="9">
        <f>SUM(I40:I43)</f>
        <v>19804227.83767619</v>
      </c>
      <c r="K44" s="55"/>
      <c r="L44" s="25"/>
      <c r="M44" s="55"/>
      <c r="N44" s="25"/>
      <c r="P44" s="25"/>
    </row>
    <row r="45" ht="15.75">
      <c r="P45" s="25"/>
    </row>
    <row r="46" ht="15.75">
      <c r="P46" s="25"/>
    </row>
    <row r="47" ht="15.75">
      <c r="P47" s="25"/>
    </row>
    <row r="48" ht="15.75">
      <c r="P48" s="25"/>
    </row>
    <row r="49" ht="15.75">
      <c r="P49" s="25"/>
    </row>
    <row r="50" ht="15.75">
      <c r="P50" s="25"/>
    </row>
    <row r="51" ht="15.75">
      <c r="P51" s="25"/>
    </row>
  </sheetData>
  <mergeCells count="7">
    <mergeCell ref="A7:P7"/>
    <mergeCell ref="L9:M9"/>
    <mergeCell ref="J9:K9"/>
    <mergeCell ref="A1:P1"/>
    <mergeCell ref="A2:P2"/>
    <mergeCell ref="A3:P3"/>
    <mergeCell ref="A6:P6"/>
  </mergeCells>
  <printOptions/>
  <pageMargins left="0.8" right="0.8" top="1" bottom="1.35" header="0.8" footer="0.8"/>
  <pageSetup firstPageNumber="1" useFirstPageNumber="1" fitToHeight="1" fitToWidth="1" horizontalDpi="600" verticalDpi="600" orientation="landscape" scale="61" r:id="rId1"/>
  <headerFooter alignWithMargins="0">
    <oddFooter xml:space="preserve">&amp;R&amp;"Courier New,Regular"&amp;12Exhibit PB-11 Defense Health Program Funding Summary
(Page &amp;P of 7)&amp;5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97"/>
  <sheetViews>
    <sheetView view="pageBreakPreview" zoomScale="75" zoomScaleNormal="60" zoomScaleSheetLayoutView="75" workbookViewId="0" topLeftCell="A1">
      <selection activeCell="J96" sqref="J96"/>
    </sheetView>
  </sheetViews>
  <sheetFormatPr defaultColWidth="9.140625" defaultRowHeight="12.75"/>
  <cols>
    <col min="1" max="1" width="1.7109375" style="69" customWidth="1"/>
    <col min="2" max="2" width="9.57421875" style="69" customWidth="1"/>
    <col min="3" max="3" width="9.140625" style="69" customWidth="1"/>
    <col min="4" max="4" width="10.28125" style="69" customWidth="1"/>
    <col min="5" max="5" width="8.00390625" style="69" customWidth="1"/>
    <col min="6" max="6" width="43.140625" style="69" customWidth="1"/>
    <col min="7" max="8" width="15.57421875" style="69" bestFit="1" customWidth="1"/>
    <col min="9" max="9" width="15.8515625" style="69" customWidth="1"/>
    <col min="10" max="10" width="15.57421875" style="69" bestFit="1" customWidth="1"/>
    <col min="11" max="11" width="15.57421875" style="69" customWidth="1"/>
    <col min="12" max="12" width="15.57421875" style="70" bestFit="1" customWidth="1"/>
    <col min="13" max="13" width="12.7109375" style="69" bestFit="1" customWidth="1"/>
    <col min="14" max="14" width="11.28125" style="70" bestFit="1" customWidth="1"/>
    <col min="15" max="15" width="12.7109375" style="69" customWidth="1"/>
    <col min="16" max="16" width="11.28125" style="70" bestFit="1" customWidth="1"/>
    <col min="17" max="16384" width="9.140625" style="69" customWidth="1"/>
  </cols>
  <sheetData>
    <row r="1" spans="1:16" s="68" customFormat="1" ht="16.5">
      <c r="A1" s="93" t="s">
        <v>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s="68" customFormat="1" ht="16.5">
      <c r="A2" s="93" t="s">
        <v>283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ht="16.5">
      <c r="A3" s="93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6.5">
      <c r="A4" s="49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56"/>
      <c r="M5" s="31"/>
    </row>
    <row r="6" spans="1:16" ht="16.5">
      <c r="A6" s="93" t="s">
        <v>26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</row>
    <row r="7" spans="1:16" ht="15.75">
      <c r="A7" s="92" t="s">
        <v>3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1:16" ht="15.75">
      <c r="A8" s="43"/>
      <c r="B8" s="43"/>
      <c r="C8" s="43"/>
      <c r="D8" s="43"/>
      <c r="E8" s="43"/>
      <c r="F8" s="43"/>
      <c r="G8" s="43"/>
      <c r="H8" s="43"/>
      <c r="I8" s="43"/>
      <c r="J8" s="43"/>
      <c r="K8" s="52"/>
      <c r="L8" s="43"/>
      <c r="M8" s="52"/>
      <c r="N8" s="69"/>
      <c r="P8" s="69"/>
    </row>
    <row r="9" spans="1:16" ht="15.75">
      <c r="A9" s="43"/>
      <c r="B9" s="43"/>
      <c r="C9" s="43"/>
      <c r="D9" s="43"/>
      <c r="E9" s="43"/>
      <c r="F9" s="43"/>
      <c r="G9" s="43"/>
      <c r="H9" s="43"/>
      <c r="I9" s="43"/>
      <c r="J9" s="43"/>
      <c r="K9" s="52"/>
      <c r="L9" s="43"/>
      <c r="M9" s="52"/>
      <c r="N9" s="69"/>
      <c r="P9" s="69"/>
    </row>
    <row r="10" spans="1:16" ht="15.7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52"/>
      <c r="L10" s="43"/>
      <c r="M10" s="52"/>
      <c r="N10" s="69"/>
      <c r="P10" s="69"/>
    </row>
    <row r="11" spans="11:16" ht="15.75">
      <c r="K11" s="70"/>
      <c r="L11" s="69"/>
      <c r="M11" s="70"/>
      <c r="N11" s="69"/>
      <c r="P11" s="69"/>
    </row>
    <row r="12" spans="7:16" ht="15.75">
      <c r="G12" s="10" t="s">
        <v>201</v>
      </c>
      <c r="H12" s="10" t="s">
        <v>211</v>
      </c>
      <c r="I12" s="10" t="s">
        <v>277</v>
      </c>
      <c r="J12" s="92" t="s">
        <v>212</v>
      </c>
      <c r="K12" s="92"/>
      <c r="L12" s="92" t="s">
        <v>278</v>
      </c>
      <c r="M12" s="92"/>
      <c r="N12" s="69"/>
      <c r="P12" s="69"/>
    </row>
    <row r="13" spans="7:16" ht="15.75">
      <c r="G13" s="11" t="s">
        <v>22</v>
      </c>
      <c r="H13" s="11" t="s">
        <v>23</v>
      </c>
      <c r="I13" s="11" t="s">
        <v>23</v>
      </c>
      <c r="J13" s="11" t="s">
        <v>24</v>
      </c>
      <c r="K13" s="54" t="s">
        <v>25</v>
      </c>
      <c r="L13" s="11" t="s">
        <v>24</v>
      </c>
      <c r="M13" s="54" t="s">
        <v>25</v>
      </c>
      <c r="N13" s="69"/>
      <c r="P13" s="69"/>
    </row>
    <row r="14" spans="7:16" ht="15.75">
      <c r="G14" s="68"/>
      <c r="H14" s="68"/>
      <c r="I14" s="68"/>
      <c r="K14" s="70"/>
      <c r="L14" s="69"/>
      <c r="M14" s="70"/>
      <c r="N14" s="69"/>
      <c r="P14" s="69"/>
    </row>
    <row r="15" spans="1:16" ht="16.5">
      <c r="A15" s="26" t="s">
        <v>4</v>
      </c>
      <c r="B15" s="25"/>
      <c r="C15" s="25"/>
      <c r="D15" s="25"/>
      <c r="E15" s="25"/>
      <c r="F15" s="25"/>
      <c r="G15" s="68"/>
      <c r="H15" s="68"/>
      <c r="I15" s="68"/>
      <c r="K15" s="70"/>
      <c r="L15" s="69"/>
      <c r="M15" s="70"/>
      <c r="N15" s="69"/>
      <c r="P15" s="69"/>
    </row>
    <row r="16" spans="1:16" ht="15.75">
      <c r="A16" s="25" t="s">
        <v>27</v>
      </c>
      <c r="B16" s="25"/>
      <c r="C16" s="25" t="s">
        <v>35</v>
      </c>
      <c r="D16" s="25"/>
      <c r="E16" s="25"/>
      <c r="F16" s="25"/>
      <c r="G16" s="69">
        <v>3442769</v>
      </c>
      <c r="H16" s="69">
        <v>2986704.9638</v>
      </c>
      <c r="I16" s="69">
        <v>2366763.19762874</v>
      </c>
      <c r="J16" s="69">
        <v>-456064.0362</v>
      </c>
      <c r="K16" s="70">
        <v>-0.1324701239612649</v>
      </c>
      <c r="L16" s="69">
        <v>-619941.7661712598</v>
      </c>
      <c r="M16" s="70">
        <v>-0.20756712620938117</v>
      </c>
      <c r="N16" s="69"/>
      <c r="P16" s="69"/>
    </row>
    <row r="17" spans="1:16" ht="15.75">
      <c r="A17" s="25" t="s">
        <v>28</v>
      </c>
      <c r="B17" s="25"/>
      <c r="C17" s="25" t="s">
        <v>36</v>
      </c>
      <c r="D17" s="25"/>
      <c r="E17" s="25"/>
      <c r="F17" s="25"/>
      <c r="G17" s="69">
        <v>279257</v>
      </c>
      <c r="H17" s="69">
        <v>224868.54200000002</v>
      </c>
      <c r="I17" s="69">
        <v>248154.7968248</v>
      </c>
      <c r="J17" s="69">
        <v>-54388.457999999984</v>
      </c>
      <c r="K17" s="70">
        <v>-0.194761305893854</v>
      </c>
      <c r="L17" s="69">
        <v>23286.25482479998</v>
      </c>
      <c r="M17" s="70">
        <v>0.10355496868388099</v>
      </c>
      <c r="N17" s="69"/>
      <c r="P17" s="69"/>
    </row>
    <row r="18" spans="1:16" s="68" customFormat="1" ht="15.75">
      <c r="A18" s="12" t="s">
        <v>268</v>
      </c>
      <c r="B18" s="9"/>
      <c r="C18" s="9" t="s">
        <v>269</v>
      </c>
      <c r="D18" s="9"/>
      <c r="E18" s="9"/>
      <c r="F18" s="9"/>
      <c r="G18" s="69">
        <v>0</v>
      </c>
      <c r="H18" s="69">
        <v>1322582.23</v>
      </c>
      <c r="I18" s="69">
        <v>1120422</v>
      </c>
      <c r="J18" s="69">
        <v>1322582.23</v>
      </c>
      <c r="K18" s="70">
        <v>0</v>
      </c>
      <c r="L18" s="69">
        <v>-202160.23</v>
      </c>
      <c r="M18" s="70">
        <v>-0.15285267366702787</v>
      </c>
      <c r="N18" s="69"/>
      <c r="O18" s="69"/>
      <c r="P18" s="75"/>
    </row>
    <row r="19" spans="1:16" s="68" customFormat="1" ht="15.75">
      <c r="A19" s="12" t="s">
        <v>270</v>
      </c>
      <c r="B19" s="9"/>
      <c r="C19" s="9" t="s">
        <v>271</v>
      </c>
      <c r="D19" s="9"/>
      <c r="E19" s="9"/>
      <c r="F19" s="9"/>
      <c r="G19" s="69">
        <v>0</v>
      </c>
      <c r="H19" s="69">
        <v>82193.77</v>
      </c>
      <c r="I19" s="69">
        <v>84772</v>
      </c>
      <c r="J19" s="69">
        <v>82193.77</v>
      </c>
      <c r="K19" s="70">
        <v>0</v>
      </c>
      <c r="L19" s="69">
        <v>2578.23</v>
      </c>
      <c r="M19" s="70">
        <v>0.03136770584923889</v>
      </c>
      <c r="N19" s="69"/>
      <c r="O19" s="69"/>
      <c r="P19" s="75"/>
    </row>
    <row r="20" spans="1:16" ht="15.75">
      <c r="A20" s="25" t="s">
        <v>29</v>
      </c>
      <c r="B20" s="25"/>
      <c r="C20" s="25" t="s">
        <v>33</v>
      </c>
      <c r="D20" s="25"/>
      <c r="E20" s="25"/>
      <c r="F20" s="25"/>
      <c r="G20" s="69">
        <v>174107</v>
      </c>
      <c r="H20" s="69">
        <v>188559.832</v>
      </c>
      <c r="I20" s="69">
        <v>202837.785164</v>
      </c>
      <c r="J20" s="69">
        <v>14452.831999999995</v>
      </c>
      <c r="K20" s="70">
        <v>0.08301120575278417</v>
      </c>
      <c r="L20" s="69">
        <v>14277.953164000006</v>
      </c>
      <c r="M20" s="70">
        <v>0.07572107491058863</v>
      </c>
      <c r="N20" s="69"/>
      <c r="P20" s="69"/>
    </row>
    <row r="21" spans="1:16" ht="15.75">
      <c r="A21" s="25" t="s">
        <v>30</v>
      </c>
      <c r="B21" s="25"/>
      <c r="C21" s="25" t="s">
        <v>34</v>
      </c>
      <c r="D21" s="25"/>
      <c r="E21" s="25"/>
      <c r="F21" s="25"/>
      <c r="G21" s="73">
        <v>38917</v>
      </c>
      <c r="H21" s="73">
        <v>46213.744</v>
      </c>
      <c r="I21" s="73">
        <v>47860.8256072</v>
      </c>
      <c r="J21" s="73">
        <v>7296.743999999999</v>
      </c>
      <c r="K21" s="74">
        <v>0.18749502787984682</v>
      </c>
      <c r="L21" s="73">
        <v>1647.0816072000016</v>
      </c>
      <c r="M21" s="74">
        <v>0.03564051437165536</v>
      </c>
      <c r="N21" s="69"/>
      <c r="P21" s="69"/>
    </row>
    <row r="22" spans="1:16" ht="15.75">
      <c r="A22" s="25"/>
      <c r="B22" s="25" t="s">
        <v>31</v>
      </c>
      <c r="C22" s="25"/>
      <c r="D22" s="25"/>
      <c r="E22" s="25"/>
      <c r="F22" s="25"/>
      <c r="G22" s="69">
        <v>3935050</v>
      </c>
      <c r="H22" s="69">
        <v>4851123.0818</v>
      </c>
      <c r="I22" s="69">
        <v>4070810.60522474</v>
      </c>
      <c r="J22" s="69">
        <v>916073.0817999998</v>
      </c>
      <c r="K22" s="70">
        <v>0.232798333388394</v>
      </c>
      <c r="L22" s="69">
        <v>-780312.4765752596</v>
      </c>
      <c r="M22" s="70">
        <v>-0.1608519230325787</v>
      </c>
      <c r="N22" s="69"/>
      <c r="P22" s="69"/>
    </row>
    <row r="23" spans="1:13" s="88" customFormat="1" ht="16.5">
      <c r="A23" s="87"/>
      <c r="B23" s="86" t="s">
        <v>299</v>
      </c>
      <c r="C23" s="87"/>
      <c r="D23" s="87"/>
      <c r="E23" s="87"/>
      <c r="F23" s="87"/>
      <c r="G23" s="90" t="s">
        <v>289</v>
      </c>
      <c r="H23" s="90" t="s">
        <v>289</v>
      </c>
      <c r="I23" s="88">
        <v>806664</v>
      </c>
      <c r="K23" s="89"/>
      <c r="M23" s="89"/>
    </row>
    <row r="24" spans="1:13" s="88" customFormat="1" ht="16.5">
      <c r="A24" s="87"/>
      <c r="B24" s="86" t="s">
        <v>301</v>
      </c>
      <c r="C24" s="87"/>
      <c r="D24" s="87"/>
      <c r="E24" s="87"/>
      <c r="F24" s="87"/>
      <c r="G24" s="88">
        <f>G22</f>
        <v>3935050</v>
      </c>
      <c r="H24" s="88">
        <f>H22</f>
        <v>4851123.0818</v>
      </c>
      <c r="I24" s="88">
        <f>I22+I23</f>
        <v>4877474.60522474</v>
      </c>
      <c r="K24" s="89"/>
      <c r="M24" s="89"/>
    </row>
    <row r="25" spans="1:16" ht="36" customHeight="1">
      <c r="A25" s="25"/>
      <c r="B25" s="94" t="s">
        <v>303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70"/>
      <c r="N25" s="69"/>
      <c r="P25" s="69"/>
    </row>
    <row r="26" spans="1:16" ht="16.5">
      <c r="A26" s="25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70"/>
      <c r="N26" s="69"/>
      <c r="P26" s="69"/>
    </row>
    <row r="27" spans="1:16" ht="16.5">
      <c r="A27" s="26" t="s">
        <v>5</v>
      </c>
      <c r="B27" s="25"/>
      <c r="C27" s="25"/>
      <c r="D27" s="25"/>
      <c r="E27" s="25"/>
      <c r="F27" s="25"/>
      <c r="L27" s="69"/>
      <c r="N27" s="69"/>
      <c r="P27" s="69"/>
    </row>
    <row r="28" spans="1:16" ht="15.75">
      <c r="A28" s="12" t="s">
        <v>266</v>
      </c>
      <c r="B28" s="9"/>
      <c r="C28" s="9" t="s">
        <v>267</v>
      </c>
      <c r="D28" s="9"/>
      <c r="E28" s="9"/>
      <c r="F28" s="9"/>
      <c r="G28" s="69">
        <v>317926</v>
      </c>
      <c r="H28" s="69">
        <v>937015</v>
      </c>
      <c r="I28" s="69">
        <v>116167</v>
      </c>
      <c r="J28" s="69">
        <v>619089</v>
      </c>
      <c r="K28" s="70">
        <v>1.9472738939250014</v>
      </c>
      <c r="L28" s="69">
        <v>-820848</v>
      </c>
      <c r="M28" s="70">
        <v>-0.8760243966211854</v>
      </c>
      <c r="N28" s="69"/>
      <c r="P28" s="69"/>
    </row>
    <row r="29" spans="1:13" s="73" customFormat="1" ht="15.75">
      <c r="A29" s="25" t="s">
        <v>32</v>
      </c>
      <c r="B29" s="25"/>
      <c r="C29" s="25" t="s">
        <v>272</v>
      </c>
      <c r="D29" s="25"/>
      <c r="E29" s="25"/>
      <c r="F29" s="25"/>
      <c r="G29" s="69">
        <v>3931972</v>
      </c>
      <c r="H29" s="69">
        <v>4704100.099642844</v>
      </c>
      <c r="I29" s="69">
        <v>5396612.313769304</v>
      </c>
      <c r="J29" s="69">
        <v>772128.0996428439</v>
      </c>
      <c r="K29" s="70">
        <v>0.19637171873117204</v>
      </c>
      <c r="L29" s="69">
        <v>692512.2141264603</v>
      </c>
      <c r="M29" s="70">
        <v>0.1472145999144531</v>
      </c>
    </row>
    <row r="30" spans="1:16" ht="15.75" customHeight="1">
      <c r="A30" s="25" t="s">
        <v>37</v>
      </c>
      <c r="B30" s="25"/>
      <c r="C30" s="25" t="s">
        <v>273</v>
      </c>
      <c r="D30" s="25"/>
      <c r="E30" s="25"/>
      <c r="F30" s="25"/>
      <c r="G30" s="69">
        <v>1941646</v>
      </c>
      <c r="H30" s="69">
        <v>4601456.933791804</v>
      </c>
      <c r="I30" s="69">
        <v>1646894.4053511452</v>
      </c>
      <c r="J30" s="73">
        <v>2659810.933791804</v>
      </c>
      <c r="K30" s="74">
        <v>1.369874289026838</v>
      </c>
      <c r="L30" s="73">
        <v>-2954562.528440659</v>
      </c>
      <c r="M30" s="74">
        <v>-0.6420928351503593</v>
      </c>
      <c r="N30" s="69"/>
      <c r="P30" s="69"/>
    </row>
    <row r="31" spans="1:16" ht="15.75">
      <c r="A31" s="25"/>
      <c r="B31" s="25" t="s">
        <v>38</v>
      </c>
      <c r="C31" s="25"/>
      <c r="D31" s="25"/>
      <c r="E31" s="25"/>
      <c r="F31" s="25"/>
      <c r="G31" s="69">
        <v>6191544</v>
      </c>
      <c r="H31" s="69">
        <v>10242572.033434648</v>
      </c>
      <c r="I31" s="69">
        <v>7159673.719120449</v>
      </c>
      <c r="J31" s="69">
        <v>4051028.033434648</v>
      </c>
      <c r="K31" s="70">
        <v>0.6542839772170961</v>
      </c>
      <c r="L31" s="69">
        <v>-3082898.3143141987</v>
      </c>
      <c r="M31" s="70">
        <v>-0.3009886876314609</v>
      </c>
      <c r="N31" s="69"/>
      <c r="P31" s="69"/>
    </row>
    <row r="32" spans="1:13" s="88" customFormat="1" ht="16.5">
      <c r="A32" s="87"/>
      <c r="B32" s="86" t="s">
        <v>299</v>
      </c>
      <c r="C32" s="87"/>
      <c r="D32" s="87"/>
      <c r="E32" s="87"/>
      <c r="F32" s="87"/>
      <c r="G32" s="90" t="s">
        <v>289</v>
      </c>
      <c r="H32" s="90" t="s">
        <v>289</v>
      </c>
      <c r="I32" s="88">
        <v>4290999</v>
      </c>
      <c r="K32" s="89"/>
      <c r="M32" s="89"/>
    </row>
    <row r="33" spans="1:13" s="88" customFormat="1" ht="16.5">
      <c r="A33" s="87"/>
      <c r="B33" s="86" t="s">
        <v>302</v>
      </c>
      <c r="C33" s="87"/>
      <c r="D33" s="87"/>
      <c r="E33" s="87"/>
      <c r="F33" s="87"/>
      <c r="G33" s="88">
        <f>G31</f>
        <v>6191544</v>
      </c>
      <c r="H33" s="88">
        <f>H31</f>
        <v>10242572.033434648</v>
      </c>
      <c r="I33" s="88">
        <f>I31+I32</f>
        <v>11450672.71912045</v>
      </c>
      <c r="K33" s="89"/>
      <c r="M33" s="89"/>
    </row>
    <row r="34" spans="1:13" s="88" customFormat="1" ht="32.25" customHeight="1">
      <c r="A34" s="87"/>
      <c r="B34" s="94" t="s">
        <v>303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89"/>
    </row>
    <row r="35" spans="1:16" ht="15.75">
      <c r="A35" s="25"/>
      <c r="B35" s="25"/>
      <c r="C35" s="25"/>
      <c r="D35" s="25"/>
      <c r="E35" s="25"/>
      <c r="F35" s="25"/>
      <c r="G35" s="73"/>
      <c r="H35" s="73"/>
      <c r="I35" s="73"/>
      <c r="K35" s="70"/>
      <c r="L35" s="69"/>
      <c r="M35" s="70"/>
      <c r="N35" s="69"/>
      <c r="P35" s="69"/>
    </row>
    <row r="36" spans="1:16" ht="16.5">
      <c r="A36" s="26" t="s">
        <v>6</v>
      </c>
      <c r="B36" s="25"/>
      <c r="C36" s="25"/>
      <c r="D36" s="25"/>
      <c r="E36" s="25"/>
      <c r="F36" s="25"/>
      <c r="G36" s="73"/>
      <c r="H36" s="73"/>
      <c r="I36" s="73"/>
      <c r="K36" s="70"/>
      <c r="L36" s="69"/>
      <c r="M36" s="70"/>
      <c r="N36" s="69"/>
      <c r="P36" s="69"/>
    </row>
    <row r="37" spans="1:16" ht="15.75">
      <c r="A37" s="25" t="s">
        <v>39</v>
      </c>
      <c r="B37" s="25"/>
      <c r="C37" s="25" t="s">
        <v>40</v>
      </c>
      <c r="D37" s="25"/>
      <c r="E37" s="25"/>
      <c r="F37" s="25"/>
      <c r="G37" s="69">
        <v>31723</v>
      </c>
      <c r="H37" s="69">
        <v>32000.455995225955</v>
      </c>
      <c r="I37" s="69">
        <v>34096.553356108336</v>
      </c>
      <c r="J37" s="69">
        <v>277.4559952259551</v>
      </c>
      <c r="K37" s="70">
        <v>0.008746209224409896</v>
      </c>
      <c r="L37" s="69">
        <v>2096.0973608823806</v>
      </c>
      <c r="M37" s="70">
        <v>0.06550210913229144</v>
      </c>
      <c r="N37" s="69"/>
      <c r="P37" s="69"/>
    </row>
    <row r="38" spans="1:16" ht="15.75">
      <c r="A38" s="25" t="s">
        <v>41</v>
      </c>
      <c r="B38" s="25"/>
      <c r="C38" s="25" t="s">
        <v>42</v>
      </c>
      <c r="D38" s="25"/>
      <c r="E38" s="25"/>
      <c r="F38" s="25"/>
      <c r="G38" s="69">
        <v>364414</v>
      </c>
      <c r="H38" s="69">
        <v>242433.4105717478</v>
      </c>
      <c r="I38" s="69">
        <v>252693.74971190092</v>
      </c>
      <c r="J38" s="69">
        <v>-121980.58942825219</v>
      </c>
      <c r="K38" s="70">
        <v>-0.33473079911378867</v>
      </c>
      <c r="L38" s="69">
        <v>10260.339140153112</v>
      </c>
      <c r="M38" s="70">
        <v>0.042322298382699935</v>
      </c>
      <c r="N38" s="69"/>
      <c r="P38" s="69"/>
    </row>
    <row r="39" spans="1:16" ht="15.75">
      <c r="A39" s="25" t="s">
        <v>43</v>
      </c>
      <c r="B39" s="25"/>
      <c r="C39" s="25" t="s">
        <v>44</v>
      </c>
      <c r="D39" s="25"/>
      <c r="E39" s="25"/>
      <c r="F39" s="25"/>
      <c r="G39" s="69">
        <v>203047</v>
      </c>
      <c r="H39" s="69">
        <v>212778.2118932819</v>
      </c>
      <c r="I39" s="69">
        <v>216761.1272570229</v>
      </c>
      <c r="J39" s="69">
        <v>9731.2118932819</v>
      </c>
      <c r="K39" s="70">
        <v>0.04792590825415741</v>
      </c>
      <c r="L39" s="69">
        <v>3982.915363740991</v>
      </c>
      <c r="M39" s="70">
        <v>0.018718624093610706</v>
      </c>
      <c r="N39" s="69"/>
      <c r="P39" s="69"/>
    </row>
    <row r="40" spans="1:16" ht="15.75">
      <c r="A40" s="25" t="s">
        <v>45</v>
      </c>
      <c r="B40" s="25"/>
      <c r="C40" s="25" t="s">
        <v>46</v>
      </c>
      <c r="D40" s="25"/>
      <c r="E40" s="25"/>
      <c r="F40" s="25"/>
      <c r="G40" s="69">
        <v>15777</v>
      </c>
      <c r="H40" s="69">
        <v>16654.19608101767</v>
      </c>
      <c r="I40" s="69">
        <v>17515.385566060035</v>
      </c>
      <c r="J40" s="69">
        <v>877.1960810176715</v>
      </c>
      <c r="K40" s="70">
        <v>0.05559967554146362</v>
      </c>
      <c r="L40" s="69">
        <v>861.1894850423632</v>
      </c>
      <c r="M40" s="70">
        <v>0.05171006038675986</v>
      </c>
      <c r="N40" s="69"/>
      <c r="P40" s="69"/>
    </row>
    <row r="41" spans="1:16" ht="15.75">
      <c r="A41" s="25" t="s">
        <v>47</v>
      </c>
      <c r="B41" s="25"/>
      <c r="C41" s="25" t="s">
        <v>48</v>
      </c>
      <c r="D41" s="25"/>
      <c r="E41" s="25"/>
      <c r="F41" s="25"/>
      <c r="G41" s="69">
        <v>198202</v>
      </c>
      <c r="H41" s="69">
        <v>203808.36408721784</v>
      </c>
      <c r="I41" s="69">
        <v>208632.60463804958</v>
      </c>
      <c r="J41" s="69">
        <v>5606.364087217837</v>
      </c>
      <c r="K41" s="70">
        <v>0.02828611258825762</v>
      </c>
      <c r="L41" s="69">
        <v>4824.240550831746</v>
      </c>
      <c r="M41" s="70">
        <v>0.02367047384162928</v>
      </c>
      <c r="N41" s="69"/>
      <c r="P41" s="69"/>
    </row>
    <row r="42" spans="1:16" ht="15.75">
      <c r="A42" s="25" t="s">
        <v>49</v>
      </c>
      <c r="B42" s="25"/>
      <c r="C42" s="25" t="s">
        <v>50</v>
      </c>
      <c r="D42" s="25"/>
      <c r="E42" s="25"/>
      <c r="F42" s="25"/>
      <c r="G42" s="69">
        <v>30328</v>
      </c>
      <c r="H42" s="69">
        <v>21250.4</v>
      </c>
      <c r="I42" s="69">
        <v>30372.7</v>
      </c>
      <c r="J42" s="69">
        <v>-9077.6</v>
      </c>
      <c r="K42" s="70">
        <v>-0.2993141651279345</v>
      </c>
      <c r="L42" s="69">
        <v>9122.3</v>
      </c>
      <c r="M42" s="70">
        <v>0.42927662538116923</v>
      </c>
      <c r="N42" s="69"/>
      <c r="P42" s="69"/>
    </row>
    <row r="43" spans="1:16" ht="15.75">
      <c r="A43" s="25" t="s">
        <v>51</v>
      </c>
      <c r="B43" s="25"/>
      <c r="C43" s="25" t="s">
        <v>52</v>
      </c>
      <c r="D43" s="25"/>
      <c r="E43" s="25"/>
      <c r="F43" s="25"/>
      <c r="G43" s="69">
        <v>49072</v>
      </c>
      <c r="H43" s="69">
        <v>50968.77803385104</v>
      </c>
      <c r="I43" s="69">
        <v>49476.2563</v>
      </c>
      <c r="J43" s="73">
        <v>1896.778033851042</v>
      </c>
      <c r="K43" s="74">
        <v>0.03865295960733294</v>
      </c>
      <c r="L43" s="73">
        <v>-1492.521733851041</v>
      </c>
      <c r="M43" s="74">
        <v>-0.029283058990737014</v>
      </c>
      <c r="N43" s="69"/>
      <c r="P43" s="69"/>
    </row>
    <row r="44" spans="1:16" ht="15.75">
      <c r="A44" s="25"/>
      <c r="B44" s="25" t="s">
        <v>53</v>
      </c>
      <c r="C44" s="25"/>
      <c r="D44" s="25"/>
      <c r="E44" s="25"/>
      <c r="F44" s="25"/>
      <c r="G44" s="69">
        <v>892563</v>
      </c>
      <c r="H44" s="69">
        <v>779893.8166623423</v>
      </c>
      <c r="I44" s="69">
        <v>809548.3768291418</v>
      </c>
      <c r="J44" s="69">
        <v>-112669.18333765771</v>
      </c>
      <c r="K44" s="70">
        <v>-0.12623107090217464</v>
      </c>
      <c r="L44" s="69">
        <v>29654.560166799463</v>
      </c>
      <c r="M44" s="70">
        <v>0.03802384316073954</v>
      </c>
      <c r="N44" s="69"/>
      <c r="P44" s="69"/>
    </row>
    <row r="45" spans="1:16" ht="15.75">
      <c r="A45" s="25"/>
      <c r="B45" s="25"/>
      <c r="C45" s="25"/>
      <c r="D45" s="25"/>
      <c r="E45" s="25"/>
      <c r="F45" s="25"/>
      <c r="G45" s="73"/>
      <c r="H45" s="73"/>
      <c r="I45" s="73"/>
      <c r="K45" s="70"/>
      <c r="L45" s="69"/>
      <c r="M45" s="70"/>
      <c r="N45" s="69"/>
      <c r="P45" s="69"/>
    </row>
    <row r="46" spans="1:16" ht="15.75">
      <c r="A46" s="25"/>
      <c r="B46" s="25"/>
      <c r="C46" s="25"/>
      <c r="D46" s="25"/>
      <c r="E46" s="25"/>
      <c r="F46" s="25"/>
      <c r="G46" s="73"/>
      <c r="H46" s="73"/>
      <c r="I46" s="73"/>
      <c r="K46" s="70"/>
      <c r="L46" s="69"/>
      <c r="M46" s="70"/>
      <c r="N46" s="69"/>
      <c r="P46" s="69"/>
    </row>
    <row r="47" spans="1:16" ht="16.5">
      <c r="A47" s="26" t="s">
        <v>54</v>
      </c>
      <c r="B47" s="25"/>
      <c r="C47" s="25"/>
      <c r="D47" s="25"/>
      <c r="E47" s="25"/>
      <c r="F47" s="25"/>
      <c r="L47" s="69"/>
      <c r="N47" s="69"/>
      <c r="P47" s="69"/>
    </row>
    <row r="48" spans="1:16" ht="15.75">
      <c r="A48" s="12" t="s">
        <v>264</v>
      </c>
      <c r="B48" s="9"/>
      <c r="C48" s="9" t="s">
        <v>265</v>
      </c>
      <c r="D48" s="25"/>
      <c r="E48" s="25"/>
      <c r="F48" s="25"/>
      <c r="G48" s="69">
        <v>0</v>
      </c>
      <c r="H48" s="69">
        <v>273192</v>
      </c>
      <c r="I48" s="69">
        <v>289659</v>
      </c>
      <c r="J48" s="69">
        <v>273192</v>
      </c>
      <c r="K48" s="70">
        <v>0</v>
      </c>
      <c r="L48" s="69">
        <v>16467</v>
      </c>
      <c r="M48" s="70">
        <v>0.060276289203197754</v>
      </c>
      <c r="N48" s="69"/>
      <c r="P48" s="69"/>
    </row>
    <row r="49" spans="1:16" ht="15.75">
      <c r="A49" s="12" t="s">
        <v>286</v>
      </c>
      <c r="B49" s="25"/>
      <c r="C49" s="25" t="s">
        <v>55</v>
      </c>
      <c r="D49" s="25"/>
      <c r="E49" s="25"/>
      <c r="F49" s="25"/>
      <c r="G49" s="69">
        <v>330044</v>
      </c>
      <c r="H49" s="69">
        <v>354932</v>
      </c>
      <c r="I49" s="69">
        <v>377050</v>
      </c>
      <c r="J49" s="73">
        <v>24888</v>
      </c>
      <c r="K49" s="74">
        <v>0.07540812740119499</v>
      </c>
      <c r="L49" s="73">
        <v>22118</v>
      </c>
      <c r="M49" s="74">
        <v>0.06231616196905323</v>
      </c>
      <c r="N49" s="69"/>
      <c r="P49" s="69"/>
    </row>
    <row r="50" spans="1:16" ht="15.75">
      <c r="A50" s="25"/>
      <c r="B50" s="9" t="s">
        <v>274</v>
      </c>
      <c r="C50" s="25"/>
      <c r="D50" s="25"/>
      <c r="E50" s="25"/>
      <c r="F50" s="25"/>
      <c r="G50" s="69">
        <v>330044</v>
      </c>
      <c r="H50" s="69">
        <v>628124</v>
      </c>
      <c r="I50" s="69">
        <v>666709</v>
      </c>
      <c r="J50" s="69">
        <v>298080</v>
      </c>
      <c r="K50" s="70">
        <v>0.9031523069651319</v>
      </c>
      <c r="L50" s="69">
        <v>38585</v>
      </c>
      <c r="M50" s="70">
        <v>0.06142895351873197</v>
      </c>
      <c r="N50" s="69"/>
      <c r="P50" s="69"/>
    </row>
    <row r="51" spans="1:16" ht="15.75">
      <c r="A51" s="25"/>
      <c r="B51" s="25"/>
      <c r="C51" s="25"/>
      <c r="D51" s="25"/>
      <c r="E51" s="25"/>
      <c r="F51" s="25"/>
      <c r="K51" s="70"/>
      <c r="L51" s="69"/>
      <c r="M51" s="70"/>
      <c r="N51" s="69"/>
      <c r="P51" s="69"/>
    </row>
    <row r="52" spans="1:16" ht="15.75">
      <c r="A52" s="25"/>
      <c r="B52" s="25"/>
      <c r="C52" s="25"/>
      <c r="D52" s="25"/>
      <c r="E52" s="25"/>
      <c r="F52" s="25"/>
      <c r="G52" s="73"/>
      <c r="H52" s="73"/>
      <c r="I52" s="73"/>
      <c r="K52" s="70"/>
      <c r="L52" s="73"/>
      <c r="M52" s="74"/>
      <c r="N52" s="69"/>
      <c r="P52" s="69"/>
    </row>
    <row r="53" spans="1:16" ht="16.5">
      <c r="A53" s="26" t="s">
        <v>7</v>
      </c>
      <c r="B53" s="25"/>
      <c r="C53" s="25"/>
      <c r="D53" s="25"/>
      <c r="E53" s="25"/>
      <c r="F53" s="25"/>
      <c r="K53" s="70"/>
      <c r="L53" s="69"/>
      <c r="M53" s="70"/>
      <c r="N53" s="69"/>
      <c r="P53" s="69"/>
    </row>
    <row r="54" spans="1:16" ht="15.75">
      <c r="A54" s="25" t="s">
        <v>56</v>
      </c>
      <c r="B54" s="25"/>
      <c r="C54" s="25" t="s">
        <v>57</v>
      </c>
      <c r="D54" s="25"/>
      <c r="E54" s="25"/>
      <c r="F54" s="25"/>
      <c r="G54" s="69">
        <v>48354</v>
      </c>
      <c r="H54" s="69">
        <v>49383.59124007612</v>
      </c>
      <c r="I54" s="69">
        <v>53591.216475600006</v>
      </c>
      <c r="J54" s="69">
        <v>1029.5912400761226</v>
      </c>
      <c r="K54" s="70">
        <v>0.021292783225299306</v>
      </c>
      <c r="L54" s="69">
        <v>4207.625235523883</v>
      </c>
      <c r="M54" s="70">
        <v>0.08520290100144197</v>
      </c>
      <c r="N54" s="69"/>
      <c r="P54" s="69"/>
    </row>
    <row r="55" spans="1:16" ht="15.75">
      <c r="A55" s="25" t="s">
        <v>58</v>
      </c>
      <c r="B55" s="25"/>
      <c r="C55" s="25" t="s">
        <v>59</v>
      </c>
      <c r="D55" s="25"/>
      <c r="E55" s="25"/>
      <c r="F55" s="25"/>
      <c r="G55" s="69">
        <v>161196</v>
      </c>
      <c r="H55" s="69">
        <v>177695.443</v>
      </c>
      <c r="I55" s="69">
        <v>168195.263</v>
      </c>
      <c r="J55" s="73">
        <v>16499.443</v>
      </c>
      <c r="K55" s="74">
        <v>0.10235640462542495</v>
      </c>
      <c r="L55" s="73">
        <v>-9500.179999999993</v>
      </c>
      <c r="M55" s="74">
        <v>-0.0534632731127494</v>
      </c>
      <c r="N55" s="69"/>
      <c r="P55" s="69"/>
    </row>
    <row r="56" spans="1:16" ht="15.75">
      <c r="A56" s="25"/>
      <c r="B56" s="25" t="s">
        <v>60</v>
      </c>
      <c r="C56" s="25"/>
      <c r="D56" s="25"/>
      <c r="E56" s="25"/>
      <c r="F56" s="25"/>
      <c r="G56" s="69">
        <v>209550</v>
      </c>
      <c r="H56" s="69">
        <v>227079.03424007611</v>
      </c>
      <c r="I56" s="69">
        <v>221786.4794756</v>
      </c>
      <c r="J56" s="69">
        <v>17529.034240076115</v>
      </c>
      <c r="K56" s="70">
        <v>0.08365084342675311</v>
      </c>
      <c r="L56" s="69">
        <v>-5292.55476447611</v>
      </c>
      <c r="M56" s="70">
        <v>-0.023307104428146506</v>
      </c>
      <c r="N56" s="69"/>
      <c r="P56" s="69"/>
    </row>
    <row r="57" spans="1:16" ht="16.5">
      <c r="A57" s="25"/>
      <c r="B57" s="25"/>
      <c r="C57" s="25"/>
      <c r="D57" s="25"/>
      <c r="E57" s="25"/>
      <c r="F57" s="25"/>
      <c r="G57" s="67"/>
      <c r="H57" s="67"/>
      <c r="I57" s="67"/>
      <c r="J57" s="67"/>
      <c r="K57" s="67"/>
      <c r="L57" s="67"/>
      <c r="M57" s="67"/>
      <c r="N57" s="69"/>
      <c r="P57" s="69"/>
    </row>
    <row r="58" spans="1:16" ht="15.75">
      <c r="A58" s="25"/>
      <c r="B58" s="25"/>
      <c r="C58" s="25"/>
      <c r="D58" s="25"/>
      <c r="E58" s="25"/>
      <c r="F58" s="25"/>
      <c r="G58" s="52"/>
      <c r="H58" s="52"/>
      <c r="I58" s="52"/>
      <c r="J58" s="52"/>
      <c r="K58" s="52"/>
      <c r="L58" s="52"/>
      <c r="M58" s="52"/>
      <c r="N58" s="69"/>
      <c r="P58" s="69"/>
    </row>
    <row r="59" spans="1:16" ht="16.5">
      <c r="A59" s="26" t="s">
        <v>8</v>
      </c>
      <c r="B59" s="25"/>
      <c r="C59" s="25"/>
      <c r="D59" s="25"/>
      <c r="E59" s="25"/>
      <c r="F59" s="25"/>
      <c r="G59" s="31"/>
      <c r="H59" s="31"/>
      <c r="I59" s="31"/>
      <c r="J59" s="31"/>
      <c r="K59" s="56"/>
      <c r="L59" s="31"/>
      <c r="M59" s="70"/>
      <c r="N59" s="69"/>
      <c r="P59" s="69"/>
    </row>
    <row r="60" spans="1:16" ht="15.75">
      <c r="A60" s="25" t="s">
        <v>65</v>
      </c>
      <c r="B60" s="25"/>
      <c r="C60" s="25" t="s">
        <v>66</v>
      </c>
      <c r="D60" s="25"/>
      <c r="E60" s="25"/>
      <c r="F60" s="25"/>
      <c r="G60" s="69">
        <v>87261</v>
      </c>
      <c r="H60" s="69">
        <v>103678</v>
      </c>
      <c r="I60" s="69">
        <v>117013.75</v>
      </c>
      <c r="J60" s="69">
        <v>16417</v>
      </c>
      <c r="K60" s="70">
        <v>0.18813673920766436</v>
      </c>
      <c r="L60" s="69">
        <v>13335.75</v>
      </c>
      <c r="M60" s="70">
        <v>0.12862661316769228</v>
      </c>
      <c r="N60" s="69"/>
      <c r="P60" s="69"/>
    </row>
    <row r="61" spans="1:16" ht="15.75">
      <c r="A61" s="25" t="s">
        <v>67</v>
      </c>
      <c r="B61" s="25"/>
      <c r="C61" s="25" t="s">
        <v>68</v>
      </c>
      <c r="D61" s="25"/>
      <c r="E61" s="25"/>
      <c r="F61" s="25"/>
      <c r="G61" s="69">
        <v>97028</v>
      </c>
      <c r="H61" s="69">
        <v>91470</v>
      </c>
      <c r="I61" s="69">
        <v>80661</v>
      </c>
      <c r="J61" s="69">
        <v>-5558</v>
      </c>
      <c r="K61" s="70">
        <v>-0.05728243393659562</v>
      </c>
      <c r="L61" s="69">
        <v>-10809</v>
      </c>
      <c r="M61" s="70">
        <v>-0.11816989176779272</v>
      </c>
      <c r="N61" s="69"/>
      <c r="P61" s="69"/>
    </row>
    <row r="62" spans="1:16" ht="15.75">
      <c r="A62" s="25" t="s">
        <v>69</v>
      </c>
      <c r="B62" s="25"/>
      <c r="C62" s="25" t="s">
        <v>70</v>
      </c>
      <c r="D62" s="25"/>
      <c r="E62" s="25"/>
      <c r="F62" s="25"/>
      <c r="G62" s="69">
        <v>146091</v>
      </c>
      <c r="H62" s="69">
        <v>135021.46272779524</v>
      </c>
      <c r="I62" s="69">
        <v>152416.88102662627</v>
      </c>
      <c r="J62" s="73">
        <v>-11069.537272204761</v>
      </c>
      <c r="K62" s="74">
        <v>-0.07577152098489819</v>
      </c>
      <c r="L62" s="73">
        <v>17395.418298831035</v>
      </c>
      <c r="M62" s="74">
        <v>0.12883446784975505</v>
      </c>
      <c r="N62" s="69"/>
      <c r="P62" s="69"/>
    </row>
    <row r="63" spans="1:16" ht="15.75">
      <c r="A63" s="25"/>
      <c r="B63" s="25" t="s">
        <v>71</v>
      </c>
      <c r="C63" s="25"/>
      <c r="D63" s="25"/>
      <c r="E63" s="25"/>
      <c r="F63" s="25"/>
      <c r="G63" s="69">
        <v>330380</v>
      </c>
      <c r="H63" s="69">
        <v>330169.46272779524</v>
      </c>
      <c r="I63" s="69">
        <v>350091.6310266263</v>
      </c>
      <c r="J63" s="69">
        <v>-210.5372722047614</v>
      </c>
      <c r="K63" s="70">
        <v>-0.000637257921801445</v>
      </c>
      <c r="L63" s="69">
        <v>19922.168298831035</v>
      </c>
      <c r="M63" s="70">
        <v>0.06033922136298734</v>
      </c>
      <c r="N63" s="69"/>
      <c r="P63" s="69"/>
    </row>
    <row r="64" spans="1:16" ht="15.75">
      <c r="A64" s="25"/>
      <c r="B64" s="25"/>
      <c r="C64" s="25"/>
      <c r="D64" s="25"/>
      <c r="E64" s="25"/>
      <c r="F64" s="25"/>
      <c r="G64" s="43"/>
      <c r="H64" s="43"/>
      <c r="I64" s="43"/>
      <c r="J64" s="43"/>
      <c r="K64" s="52"/>
      <c r="L64" s="43"/>
      <c r="M64" s="52"/>
      <c r="N64" s="69"/>
      <c r="P64" s="69"/>
    </row>
    <row r="65" spans="1:16" ht="15.75">
      <c r="A65" s="25"/>
      <c r="B65" s="25"/>
      <c r="C65" s="25"/>
      <c r="D65" s="25"/>
      <c r="E65" s="25"/>
      <c r="F65" s="25"/>
      <c r="K65" s="70"/>
      <c r="L65" s="69"/>
      <c r="M65" s="70"/>
      <c r="N65" s="69"/>
      <c r="P65" s="69"/>
    </row>
    <row r="66" spans="1:16" ht="16.5">
      <c r="A66" s="26" t="s">
        <v>9</v>
      </c>
      <c r="B66" s="25"/>
      <c r="C66" s="25"/>
      <c r="D66" s="25"/>
      <c r="E66" s="25"/>
      <c r="F66" s="25"/>
      <c r="G66" s="10"/>
      <c r="H66" s="10"/>
      <c r="I66" s="10"/>
      <c r="J66" s="52"/>
      <c r="K66" s="52"/>
      <c r="L66" s="52"/>
      <c r="M66" s="52"/>
      <c r="N66" s="69"/>
      <c r="P66" s="69"/>
    </row>
    <row r="67" spans="1:16" ht="15.75">
      <c r="A67" s="38" t="s">
        <v>213</v>
      </c>
      <c r="B67" s="25"/>
      <c r="C67" s="25" t="s">
        <v>284</v>
      </c>
      <c r="D67" s="25"/>
      <c r="E67" s="25"/>
      <c r="F67" s="25"/>
      <c r="G67" s="69">
        <v>0</v>
      </c>
      <c r="H67" s="69">
        <v>93145</v>
      </c>
      <c r="I67" s="69">
        <v>116052</v>
      </c>
      <c r="J67" s="69">
        <v>93145</v>
      </c>
      <c r="K67" s="70">
        <v>0</v>
      </c>
      <c r="L67" s="69">
        <v>22907</v>
      </c>
      <c r="M67" s="70">
        <v>0.24592839121799345</v>
      </c>
      <c r="N67" s="69"/>
      <c r="P67" s="69"/>
    </row>
    <row r="68" spans="1:16" ht="15.75">
      <c r="A68" s="38" t="s">
        <v>214</v>
      </c>
      <c r="B68" s="25"/>
      <c r="C68" s="25" t="s">
        <v>285</v>
      </c>
      <c r="D68" s="25"/>
      <c r="E68" s="25"/>
      <c r="F68" s="25"/>
      <c r="G68" s="69">
        <v>0</v>
      </c>
      <c r="H68" s="69">
        <v>19992</v>
      </c>
      <c r="I68" s="69">
        <v>28514</v>
      </c>
      <c r="J68" s="69">
        <v>19992</v>
      </c>
      <c r="K68" s="70">
        <v>0</v>
      </c>
      <c r="L68" s="69">
        <v>8522</v>
      </c>
      <c r="M68" s="70">
        <v>0.42627050820328133</v>
      </c>
      <c r="N68" s="69"/>
      <c r="P68" s="69"/>
    </row>
    <row r="69" spans="1:16" ht="15.75">
      <c r="A69" s="38" t="s">
        <v>215</v>
      </c>
      <c r="B69" s="25"/>
      <c r="C69" s="25" t="s">
        <v>216</v>
      </c>
      <c r="D69" s="25"/>
      <c r="E69" s="25"/>
      <c r="F69" s="25"/>
      <c r="G69" s="69">
        <v>0</v>
      </c>
      <c r="H69" s="69">
        <v>260818</v>
      </c>
      <c r="I69" s="69">
        <v>263829</v>
      </c>
      <c r="J69" s="69">
        <v>260818</v>
      </c>
      <c r="K69" s="70">
        <v>0</v>
      </c>
      <c r="L69" s="69">
        <v>3011</v>
      </c>
      <c r="M69" s="70">
        <v>0.011544448619343757</v>
      </c>
      <c r="N69" s="69"/>
      <c r="P69" s="69"/>
    </row>
    <row r="70" spans="1:16" ht="15.75">
      <c r="A70" s="38" t="s">
        <v>217</v>
      </c>
      <c r="B70" s="25"/>
      <c r="C70" s="25" t="s">
        <v>218</v>
      </c>
      <c r="D70" s="25"/>
      <c r="E70" s="25"/>
      <c r="F70" s="25"/>
      <c r="G70" s="69">
        <v>0</v>
      </c>
      <c r="H70" s="69">
        <v>41538</v>
      </c>
      <c r="I70" s="69">
        <v>44890</v>
      </c>
      <c r="J70" s="69">
        <v>41538</v>
      </c>
      <c r="K70" s="70">
        <v>0</v>
      </c>
      <c r="L70" s="69">
        <v>3352</v>
      </c>
      <c r="M70" s="70">
        <v>0.08069719293177331</v>
      </c>
      <c r="N70" s="69"/>
      <c r="P70" s="69"/>
    </row>
    <row r="71" spans="1:16" ht="15.75">
      <c r="A71" s="25" t="s">
        <v>61</v>
      </c>
      <c r="B71" s="25"/>
      <c r="C71" s="25" t="s">
        <v>63</v>
      </c>
      <c r="D71" s="25"/>
      <c r="E71" s="25"/>
      <c r="F71" s="25"/>
      <c r="G71" s="69">
        <v>40593</v>
      </c>
      <c r="H71" s="69">
        <v>0.02280238799721701</v>
      </c>
      <c r="I71" s="69">
        <v>0</v>
      </c>
      <c r="J71" s="69">
        <v>-40592.977197612</v>
      </c>
      <c r="K71" s="70">
        <v>-0.9999994382679773</v>
      </c>
      <c r="L71" s="69">
        <v>-0.02280238799721701</v>
      </c>
      <c r="M71" s="70">
        <v>-1</v>
      </c>
      <c r="N71" s="69"/>
      <c r="P71" s="69"/>
    </row>
    <row r="72" spans="1:16" ht="15.75">
      <c r="A72" s="25" t="s">
        <v>62</v>
      </c>
      <c r="B72" s="25"/>
      <c r="C72" s="25" t="s">
        <v>64</v>
      </c>
      <c r="D72" s="25"/>
      <c r="E72" s="25"/>
      <c r="F72" s="25"/>
      <c r="G72" s="69">
        <v>4028</v>
      </c>
      <c r="H72" s="69">
        <v>-0.12725551925313994</v>
      </c>
      <c r="I72" s="69">
        <v>0</v>
      </c>
      <c r="J72" s="69">
        <v>-4028.127255519253</v>
      </c>
      <c r="K72" s="70">
        <v>-1.0000315927306984</v>
      </c>
      <c r="L72" s="69">
        <v>0.12725551925313994</v>
      </c>
      <c r="M72" s="70">
        <v>-1</v>
      </c>
      <c r="N72" s="69"/>
      <c r="P72" s="69"/>
    </row>
    <row r="73" spans="1:16" ht="15.75">
      <c r="A73" s="25" t="s">
        <v>72</v>
      </c>
      <c r="B73" s="25"/>
      <c r="C73" s="25" t="s">
        <v>73</v>
      </c>
      <c r="D73" s="25"/>
      <c r="E73" s="25"/>
      <c r="F73" s="25"/>
      <c r="G73" s="69">
        <v>306283</v>
      </c>
      <c r="H73" s="69">
        <v>0.07374461216386408</v>
      </c>
      <c r="I73" s="69">
        <v>0</v>
      </c>
      <c r="J73" s="69">
        <v>-306282.92625538784</v>
      </c>
      <c r="K73" s="70">
        <v>-0.9999997592272108</v>
      </c>
      <c r="L73" s="69">
        <v>-0.07374461216386408</v>
      </c>
      <c r="M73" s="70">
        <v>-1</v>
      </c>
      <c r="N73" s="69"/>
      <c r="P73" s="69"/>
    </row>
    <row r="74" spans="1:16" ht="15.75">
      <c r="A74" s="25" t="s">
        <v>206</v>
      </c>
      <c r="B74" s="25"/>
      <c r="C74" s="25" t="s">
        <v>74</v>
      </c>
      <c r="D74" s="25"/>
      <c r="E74" s="25"/>
      <c r="F74" s="25"/>
      <c r="G74" s="69">
        <v>49745</v>
      </c>
      <c r="H74" s="69">
        <v>0.0370032672144589</v>
      </c>
      <c r="I74" s="69">
        <v>0</v>
      </c>
      <c r="J74" s="69">
        <v>-49744.962996732786</v>
      </c>
      <c r="K74" s="70">
        <v>-0.9999992561409747</v>
      </c>
      <c r="L74" s="69">
        <v>-0.0370032672144589</v>
      </c>
      <c r="M74" s="70">
        <v>-1</v>
      </c>
      <c r="N74" s="69"/>
      <c r="P74" s="69"/>
    </row>
    <row r="75" spans="1:16" ht="15.75">
      <c r="A75" s="25" t="s">
        <v>75</v>
      </c>
      <c r="B75" s="25"/>
      <c r="C75" s="25" t="s">
        <v>76</v>
      </c>
      <c r="D75" s="25"/>
      <c r="E75" s="25"/>
      <c r="F75" s="25"/>
      <c r="G75" s="69">
        <v>240237</v>
      </c>
      <c r="H75" s="69">
        <v>233967</v>
      </c>
      <c r="I75" s="69">
        <v>242792</v>
      </c>
      <c r="J75" s="69">
        <v>-6270</v>
      </c>
      <c r="K75" s="70">
        <v>-0.02609922701332434</v>
      </c>
      <c r="L75" s="69">
        <v>8825</v>
      </c>
      <c r="M75" s="70">
        <v>0.03771899455906175</v>
      </c>
      <c r="N75" s="69"/>
      <c r="P75" s="69"/>
    </row>
    <row r="76" spans="1:16" ht="15.75">
      <c r="A76" s="25" t="s">
        <v>77</v>
      </c>
      <c r="B76" s="25"/>
      <c r="C76" s="25" t="s">
        <v>78</v>
      </c>
      <c r="D76" s="25"/>
      <c r="E76" s="25"/>
      <c r="F76" s="25"/>
      <c r="G76" s="69">
        <v>26200</v>
      </c>
      <c r="H76" s="69">
        <v>24568.575367089812</v>
      </c>
      <c r="I76" s="69">
        <v>27350</v>
      </c>
      <c r="J76" s="69">
        <v>-1631.424632910188</v>
      </c>
      <c r="K76" s="70">
        <v>-0.06226811575993084</v>
      </c>
      <c r="L76" s="69">
        <v>2781.424632910188</v>
      </c>
      <c r="M76" s="70">
        <v>0.11321066001392868</v>
      </c>
      <c r="N76" s="69"/>
      <c r="P76" s="69"/>
    </row>
    <row r="77" spans="1:16" ht="15.75">
      <c r="A77" s="25" t="s">
        <v>79</v>
      </c>
      <c r="B77" s="25"/>
      <c r="C77" s="25" t="s">
        <v>80</v>
      </c>
      <c r="D77" s="25"/>
      <c r="E77" s="25"/>
      <c r="F77" s="25"/>
      <c r="G77" s="69">
        <v>32249</v>
      </c>
      <c r="H77" s="69">
        <v>43816.73560470572</v>
      </c>
      <c r="I77" s="69">
        <v>44182.293156235115</v>
      </c>
      <c r="J77" s="69">
        <v>11567.735604705718</v>
      </c>
      <c r="K77" s="70">
        <v>0.3587005986140878</v>
      </c>
      <c r="L77" s="69">
        <v>365.55755152939673</v>
      </c>
      <c r="M77" s="70">
        <v>0.00834287507922287</v>
      </c>
      <c r="N77" s="69"/>
      <c r="P77" s="69"/>
    </row>
    <row r="78" spans="1:16" ht="15.75">
      <c r="A78" s="25" t="s">
        <v>81</v>
      </c>
      <c r="B78" s="25"/>
      <c r="C78" s="25" t="s">
        <v>82</v>
      </c>
      <c r="D78" s="25"/>
      <c r="E78" s="25"/>
      <c r="F78" s="25"/>
      <c r="G78" s="69">
        <v>6564</v>
      </c>
      <c r="H78" s="69">
        <v>4776.639920961494</v>
      </c>
      <c r="I78" s="69">
        <v>5969.898870831999</v>
      </c>
      <c r="J78" s="69">
        <v>-1787.3600790385062</v>
      </c>
      <c r="K78" s="70">
        <v>-0.27229739168776756</v>
      </c>
      <c r="L78" s="69">
        <v>1193.2589498705056</v>
      </c>
      <c r="M78" s="70">
        <v>0.24981136732414896</v>
      </c>
      <c r="N78" s="69"/>
      <c r="P78" s="69"/>
    </row>
    <row r="79" spans="1:16" ht="15.75">
      <c r="A79" s="25" t="s">
        <v>83</v>
      </c>
      <c r="B79" s="25"/>
      <c r="C79" s="25" t="s">
        <v>84</v>
      </c>
      <c r="D79" s="25"/>
      <c r="E79" s="25"/>
      <c r="F79" s="25"/>
      <c r="G79" s="69">
        <v>218742</v>
      </c>
      <c r="H79" s="69">
        <v>233620.69260999997</v>
      </c>
      <c r="I79" s="69">
        <v>235519.40437200997</v>
      </c>
      <c r="J79" s="69">
        <v>14878.69260999997</v>
      </c>
      <c r="K79" s="70">
        <v>0.06801936806831779</v>
      </c>
      <c r="L79" s="69">
        <v>1898.7117620100034</v>
      </c>
      <c r="M79" s="70">
        <v>0.008127326996584422</v>
      </c>
      <c r="N79" s="69"/>
      <c r="P79" s="69"/>
    </row>
    <row r="80" spans="1:16" ht="15.75">
      <c r="A80" s="25" t="s">
        <v>85</v>
      </c>
      <c r="B80" s="25"/>
      <c r="C80" s="25" t="s">
        <v>86</v>
      </c>
      <c r="D80" s="25"/>
      <c r="E80" s="25"/>
      <c r="F80" s="25"/>
      <c r="G80" s="69">
        <v>13397</v>
      </c>
      <c r="H80" s="69">
        <v>26091.659093903152</v>
      </c>
      <c r="I80" s="69">
        <v>37062.899600555</v>
      </c>
      <c r="J80" s="69">
        <v>12694.659093903152</v>
      </c>
      <c r="K80" s="70">
        <v>0.9475747625515527</v>
      </c>
      <c r="L80" s="69">
        <v>10971.240506651848</v>
      </c>
      <c r="M80" s="70">
        <v>0.4204884199646584</v>
      </c>
      <c r="N80" s="69"/>
      <c r="P80" s="69"/>
    </row>
    <row r="81" spans="1:16" ht="15.75">
      <c r="A81" s="25" t="s">
        <v>87</v>
      </c>
      <c r="B81" s="25"/>
      <c r="C81" s="25" t="s">
        <v>88</v>
      </c>
      <c r="D81" s="25"/>
      <c r="E81" s="25"/>
      <c r="F81" s="25"/>
      <c r="G81" s="69">
        <v>55</v>
      </c>
      <c r="H81" s="69">
        <v>492.36372240373413</v>
      </c>
      <c r="I81" s="69">
        <v>357</v>
      </c>
      <c r="J81" s="69">
        <v>437.36372240373413</v>
      </c>
      <c r="K81" s="70">
        <v>7.952067680067893</v>
      </c>
      <c r="L81" s="69">
        <v>-135.36372240373413</v>
      </c>
      <c r="M81" s="70">
        <v>-0.27492627146225246</v>
      </c>
      <c r="N81" s="69"/>
      <c r="P81" s="69"/>
    </row>
    <row r="82" spans="1:16" ht="15.75">
      <c r="A82" s="25" t="s">
        <v>89</v>
      </c>
      <c r="B82" s="25"/>
      <c r="C82" s="25" t="s">
        <v>90</v>
      </c>
      <c r="D82" s="25"/>
      <c r="E82" s="25"/>
      <c r="F82" s="25"/>
      <c r="G82" s="69">
        <v>1346</v>
      </c>
      <c r="H82" s="69">
        <v>3757.6182334422406</v>
      </c>
      <c r="I82" s="69">
        <v>565</v>
      </c>
      <c r="J82" s="69">
        <v>2411.6182334422406</v>
      </c>
      <c r="K82" s="70">
        <v>1.7916925954251417</v>
      </c>
      <c r="L82" s="69">
        <v>-3192.6182334422406</v>
      </c>
      <c r="M82" s="70">
        <v>-0.8496387964664466</v>
      </c>
      <c r="N82" s="69"/>
      <c r="P82" s="69"/>
    </row>
    <row r="83" spans="1:16" ht="15.75">
      <c r="A83" s="25" t="s">
        <v>91</v>
      </c>
      <c r="B83" s="25"/>
      <c r="C83" s="25" t="s">
        <v>92</v>
      </c>
      <c r="D83" s="25"/>
      <c r="E83" s="25"/>
      <c r="F83" s="25"/>
      <c r="G83" s="69">
        <v>21728</v>
      </c>
      <c r="H83" s="69">
        <v>21257.34567824971</v>
      </c>
      <c r="I83" s="69">
        <v>25312</v>
      </c>
      <c r="J83" s="69">
        <v>-470.6543217502913</v>
      </c>
      <c r="K83" s="70">
        <v>-0.021661189329450076</v>
      </c>
      <c r="L83" s="69">
        <v>4054.6543217502913</v>
      </c>
      <c r="M83" s="70">
        <v>0.19074132693335136</v>
      </c>
      <c r="N83" s="69"/>
      <c r="P83" s="69"/>
    </row>
    <row r="84" spans="1:16" ht="15.75">
      <c r="A84" s="25" t="s">
        <v>93</v>
      </c>
      <c r="B84" s="25"/>
      <c r="C84" s="25" t="s">
        <v>94</v>
      </c>
      <c r="D84" s="25"/>
      <c r="E84" s="25"/>
      <c r="F84" s="25"/>
      <c r="G84" s="69">
        <v>7867</v>
      </c>
      <c r="H84" s="69">
        <v>7784.071141866975</v>
      </c>
      <c r="I84" s="69">
        <v>9255.53</v>
      </c>
      <c r="J84" s="73">
        <v>-82.92885813302473</v>
      </c>
      <c r="K84" s="70">
        <v>-0.0105413573322772</v>
      </c>
      <c r="L84" s="73">
        <v>1471.4588581330236</v>
      </c>
      <c r="M84" s="70">
        <v>0.18903461072172326</v>
      </c>
      <c r="N84" s="69"/>
      <c r="P84" s="69"/>
    </row>
    <row r="85" spans="1:16" ht="15.75">
      <c r="A85" s="25"/>
      <c r="B85" s="25" t="s">
        <v>95</v>
      </c>
      <c r="C85" s="25"/>
      <c r="D85" s="25"/>
      <c r="E85" s="25"/>
      <c r="F85" s="25"/>
      <c r="G85" s="69">
        <v>969034</v>
      </c>
      <c r="H85" s="69">
        <v>1015625.7076673708</v>
      </c>
      <c r="I85" s="69">
        <v>1081651.0259996322</v>
      </c>
      <c r="J85" s="69">
        <v>46591.70766737079</v>
      </c>
      <c r="K85" s="70">
        <v>0.04808057061709991</v>
      </c>
      <c r="L85" s="69">
        <v>66025.3183322614</v>
      </c>
      <c r="M85" s="70">
        <v>0.06500949890674239</v>
      </c>
      <c r="N85" s="69"/>
      <c r="P85" s="69"/>
    </row>
    <row r="86" spans="1:16" ht="15.75">
      <c r="A86" s="25"/>
      <c r="B86" s="25"/>
      <c r="C86" s="25"/>
      <c r="D86" s="25"/>
      <c r="E86" s="25"/>
      <c r="F86" s="25"/>
      <c r="K86" s="70"/>
      <c r="L86" s="69"/>
      <c r="M86" s="70"/>
      <c r="N86" s="69"/>
      <c r="P86" s="69"/>
    </row>
    <row r="87" spans="1:16" ht="15.75">
      <c r="A87" s="25"/>
      <c r="B87" s="25"/>
      <c r="C87" s="25"/>
      <c r="D87" s="25"/>
      <c r="E87" s="25"/>
      <c r="F87" s="25"/>
      <c r="K87" s="70"/>
      <c r="L87" s="69"/>
      <c r="M87" s="70"/>
      <c r="N87" s="69"/>
      <c r="P87" s="69"/>
    </row>
    <row r="88" spans="1:16" ht="16.5">
      <c r="A88" s="26" t="s">
        <v>96</v>
      </c>
      <c r="B88" s="25"/>
      <c r="C88" s="25"/>
      <c r="D88" s="25"/>
      <c r="E88" s="25"/>
      <c r="F88" s="25"/>
      <c r="G88" s="69">
        <v>12858165</v>
      </c>
      <c r="H88" s="69">
        <v>18074587.136532232</v>
      </c>
      <c r="I88" s="69">
        <v>14360270.83767619</v>
      </c>
      <c r="J88" s="69">
        <v>5216422.136532232</v>
      </c>
      <c r="K88" s="70">
        <v>0.40568946941746603</v>
      </c>
      <c r="L88" s="69">
        <v>-3714316.2988560423</v>
      </c>
      <c r="M88" s="70">
        <v>-0.20549937162042786</v>
      </c>
      <c r="N88" s="69"/>
      <c r="P88" s="69"/>
    </row>
    <row r="89" spans="1:16" ht="16.5">
      <c r="A89" s="26"/>
      <c r="B89" s="25"/>
      <c r="C89" s="25"/>
      <c r="D89" s="25"/>
      <c r="E89" s="25"/>
      <c r="F89" s="25"/>
      <c r="K89" s="70"/>
      <c r="L89" s="69"/>
      <c r="M89" s="70"/>
      <c r="N89" s="69"/>
      <c r="P89" s="69"/>
    </row>
    <row r="90" spans="1:13" s="88" customFormat="1" ht="16.5">
      <c r="A90" s="87"/>
      <c r="B90" s="86" t="s">
        <v>299</v>
      </c>
      <c r="C90" s="87"/>
      <c r="D90" s="87"/>
      <c r="E90" s="87"/>
      <c r="F90" s="87"/>
      <c r="G90" s="88" t="s">
        <v>289</v>
      </c>
      <c r="H90" s="88" t="s">
        <v>289</v>
      </c>
      <c r="I90" s="88">
        <f>+I32+I23</f>
        <v>5097663</v>
      </c>
      <c r="K90" s="89"/>
      <c r="M90" s="89"/>
    </row>
    <row r="91" spans="1:13" s="88" customFormat="1" ht="16.5">
      <c r="A91" s="87"/>
      <c r="B91" s="86" t="s">
        <v>300</v>
      </c>
      <c r="C91" s="87"/>
      <c r="D91" s="87"/>
      <c r="E91" s="87"/>
      <c r="F91" s="87"/>
      <c r="G91" s="88">
        <v>12858165</v>
      </c>
      <c r="H91" s="88">
        <v>18074587.136532232</v>
      </c>
      <c r="I91" s="88">
        <v>19457933.83767619</v>
      </c>
      <c r="K91" s="89"/>
      <c r="M91" s="89"/>
    </row>
    <row r="92" spans="1:12" ht="32.25" customHeight="1">
      <c r="A92" s="72"/>
      <c r="B92" s="94" t="s">
        <v>303</v>
      </c>
      <c r="C92" s="94"/>
      <c r="D92" s="94"/>
      <c r="E92" s="94"/>
      <c r="F92" s="94"/>
      <c r="G92" s="94"/>
      <c r="H92" s="94"/>
      <c r="I92" s="94"/>
      <c r="J92" s="94"/>
      <c r="K92" s="94"/>
      <c r="L92" s="94"/>
    </row>
    <row r="93" spans="1:6" ht="16.5">
      <c r="A93" s="72"/>
      <c r="D93" s="71"/>
      <c r="E93" s="71"/>
      <c r="F93" s="71"/>
    </row>
    <row r="94" spans="2:10" ht="15.75">
      <c r="B94" s="31"/>
      <c r="G94" s="73"/>
      <c r="H94" s="73"/>
      <c r="I94" s="73"/>
      <c r="J94" s="73"/>
    </row>
    <row r="97" spans="1:3" ht="16.5">
      <c r="A97" s="71"/>
      <c r="B97" s="71"/>
      <c r="C97" s="71"/>
    </row>
  </sheetData>
  <mergeCells count="11">
    <mergeCell ref="A6:P6"/>
    <mergeCell ref="A7:P7"/>
    <mergeCell ref="A1:P1"/>
    <mergeCell ref="A3:P3"/>
    <mergeCell ref="A2:P2"/>
    <mergeCell ref="B4:P4"/>
    <mergeCell ref="B25:L25"/>
    <mergeCell ref="B34:L34"/>
    <mergeCell ref="B92:L92"/>
    <mergeCell ref="J12:K12"/>
    <mergeCell ref="L12:M12"/>
  </mergeCells>
  <printOptions/>
  <pageMargins left="0.8" right="0.8" top="1" bottom="1.35" header="0.8" footer="0.8"/>
  <pageSetup firstPageNumber="2" useFirstPageNumber="1" fitToHeight="2" horizontalDpi="600" verticalDpi="600" orientation="landscape" scale="49" r:id="rId1"/>
  <headerFooter alignWithMargins="0">
    <oddFooter xml:space="preserve">&amp;R&amp;"Courier New,Regular"&amp;12Exhibit PB-11 Defense Health Program Funding Summary
(Page &amp;P of 7)&amp;5 </oddFooter>
  </headerFooter>
  <rowBreaks count="1" manualBreakCount="1">
    <brk id="5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14"/>
  <sheetViews>
    <sheetView zoomScale="75" zoomScaleNormal="75" workbookViewId="0" topLeftCell="A1">
      <selection activeCell="L34" sqref="L34"/>
    </sheetView>
  </sheetViews>
  <sheetFormatPr defaultColWidth="9.140625" defaultRowHeight="12.75"/>
  <cols>
    <col min="1" max="1" width="5.28125" style="25" customWidth="1"/>
    <col min="2" max="2" width="2.7109375" style="25" customWidth="1"/>
    <col min="3" max="6" width="6.7109375" style="25" customWidth="1"/>
    <col min="7" max="7" width="16.7109375" style="25" customWidth="1"/>
    <col min="8" max="8" width="24.140625" style="25" customWidth="1"/>
    <col min="9" max="9" width="14.28125" style="25" customWidth="1"/>
    <col min="10" max="11" width="15.57421875" style="25" customWidth="1"/>
    <col min="12" max="12" width="14.421875" style="25" customWidth="1"/>
    <col min="13" max="13" width="12.7109375" style="25" customWidth="1"/>
    <col min="14" max="14" width="15.57421875" style="55" customWidth="1"/>
    <col min="15" max="15" width="12.7109375" style="25" customWidth="1"/>
    <col min="16" max="16" width="9.140625" style="55" customWidth="1"/>
    <col min="17" max="17" width="12.7109375" style="25" bestFit="1" customWidth="1"/>
    <col min="18" max="18" width="9.140625" style="55" customWidth="1"/>
    <col min="19" max="16384" width="9.140625" style="25" customWidth="1"/>
  </cols>
  <sheetData>
    <row r="1" spans="1:18" s="47" customFormat="1" ht="15.75">
      <c r="A1" s="95" t="s">
        <v>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s="47" customFormat="1" ht="15.75">
      <c r="A2" s="95" t="str">
        <f>BAG!A2</f>
        <v>Fiscal Year 2003 Budget Estimate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18" s="47" customFormat="1" ht="16.5" customHeight="1">
      <c r="A3" s="95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</row>
    <row r="4" spans="1:18" s="31" customFormat="1" ht="16.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</row>
    <row r="5" spans="1:18" s="47" customFormat="1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56"/>
      <c r="P5" s="56"/>
      <c r="R5" s="56"/>
    </row>
    <row r="6" spans="1:18" s="47" customFormat="1" ht="16.5">
      <c r="A6" s="93" t="s">
        <v>26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</row>
    <row r="7" spans="1:18" s="47" customFormat="1" ht="15.75">
      <c r="A7" s="92" t="s">
        <v>3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18" ht="27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55"/>
      <c r="N8" s="25"/>
      <c r="O8" s="55"/>
      <c r="P8" s="25"/>
      <c r="R8" s="25"/>
    </row>
    <row r="9" spans="1:18" ht="15.75">
      <c r="A9" s="9"/>
      <c r="B9" s="9"/>
      <c r="C9" s="9"/>
      <c r="D9" s="9"/>
      <c r="E9" s="9"/>
      <c r="F9" s="9"/>
      <c r="G9" s="9"/>
      <c r="H9" s="9"/>
      <c r="I9" s="10" t="str">
        <f>'[5]BAG'!G12</f>
        <v>FY 2001</v>
      </c>
      <c r="J9" s="10" t="str">
        <f>'[5]BAG'!H12</f>
        <v>FY 2002</v>
      </c>
      <c r="K9" s="10" t="str">
        <f>'[5]BAG'!I12</f>
        <v>FY 2003</v>
      </c>
      <c r="L9" s="92" t="str">
        <f>'[5]BAG'!J12</f>
        <v>FY01-02 Change</v>
      </c>
      <c r="M9" s="92"/>
      <c r="N9" s="92" t="str">
        <f>'[5]BAG'!L12</f>
        <v>FY02-03 Change</v>
      </c>
      <c r="O9" s="92"/>
      <c r="P9" s="25"/>
      <c r="R9" s="25"/>
    </row>
    <row r="10" spans="1:18" ht="15.75">
      <c r="A10" s="9"/>
      <c r="B10" s="9"/>
      <c r="C10" s="9"/>
      <c r="D10" s="9"/>
      <c r="E10" s="9"/>
      <c r="F10" s="9"/>
      <c r="G10" s="9"/>
      <c r="H10" s="9"/>
      <c r="I10" s="11" t="s">
        <v>22</v>
      </c>
      <c r="J10" s="11" t="s">
        <v>23</v>
      </c>
      <c r="K10" s="11" t="s">
        <v>23</v>
      </c>
      <c r="L10" s="11" t="s">
        <v>24</v>
      </c>
      <c r="M10" s="54" t="s">
        <v>25</v>
      </c>
      <c r="N10" s="11" t="s">
        <v>24</v>
      </c>
      <c r="O10" s="54" t="s">
        <v>25</v>
      </c>
      <c r="P10" s="25"/>
      <c r="R10" s="25"/>
    </row>
    <row r="11" spans="12:18" ht="15.75">
      <c r="L11" s="9"/>
      <c r="M11" s="55"/>
      <c r="N11" s="9"/>
      <c r="O11" s="55"/>
      <c r="P11" s="25"/>
      <c r="R11" s="25"/>
    </row>
    <row r="12" spans="1:18" ht="16.5">
      <c r="A12" s="28" t="s">
        <v>220</v>
      </c>
      <c r="B12" s="26"/>
      <c r="C12" s="26"/>
      <c r="D12" s="26"/>
      <c r="L12" s="9"/>
      <c r="M12" s="55"/>
      <c r="N12" s="9"/>
      <c r="O12" s="55"/>
      <c r="P12" s="25"/>
      <c r="R12" s="25"/>
    </row>
    <row r="13" spans="9:18" ht="15.75">
      <c r="I13" s="9"/>
      <c r="J13" s="9"/>
      <c r="K13" s="9"/>
      <c r="L13" s="9"/>
      <c r="M13" s="55"/>
      <c r="N13" s="9"/>
      <c r="O13" s="55"/>
      <c r="P13" s="25"/>
      <c r="R13" s="25"/>
    </row>
    <row r="14" spans="1:18" ht="16.5">
      <c r="A14" s="25" t="s">
        <v>5</v>
      </c>
      <c r="I14" s="84">
        <v>6191544</v>
      </c>
      <c r="J14" s="84">
        <v>10242572</v>
      </c>
      <c r="K14" s="84">
        <v>7159674</v>
      </c>
      <c r="L14" s="84">
        <f>+J14-I14</f>
        <v>4051028</v>
      </c>
      <c r="M14" s="85">
        <f>IF(I14=0,0,L14/I14)</f>
        <v>0.654283971817046</v>
      </c>
      <c r="N14" s="84">
        <f>+K14-J14</f>
        <v>-3082898</v>
      </c>
      <c r="O14" s="85">
        <f>IF(K14=0,0,N14/K14)</f>
        <v>-0.4305919515329888</v>
      </c>
      <c r="P14" s="25"/>
      <c r="R14" s="25"/>
    </row>
    <row r="15" spans="9:18" ht="15.75">
      <c r="I15" s="9"/>
      <c r="J15" s="9"/>
      <c r="K15" s="9"/>
      <c r="L15" s="9"/>
      <c r="M15" s="55"/>
      <c r="N15" s="9"/>
      <c r="O15" s="55"/>
      <c r="P15" s="25"/>
      <c r="R15" s="25"/>
    </row>
    <row r="16" spans="2:18" ht="16.5">
      <c r="B16" s="26" t="s">
        <v>224</v>
      </c>
      <c r="C16" s="26"/>
      <c r="D16" s="26"/>
      <c r="E16" s="26"/>
      <c r="F16" s="26"/>
      <c r="G16" s="26"/>
      <c r="H16" s="26"/>
      <c r="I16" s="84">
        <f>SUM(I18:I20)</f>
        <v>3931972</v>
      </c>
      <c r="J16" s="84">
        <v>4704100</v>
      </c>
      <c r="K16" s="84">
        <v>5396612</v>
      </c>
      <c r="L16" s="84">
        <f>+J16-I16</f>
        <v>772128</v>
      </c>
      <c r="M16" s="85">
        <f>IF(I16=0,0,L16/I16)</f>
        <v>0.1963716933894748</v>
      </c>
      <c r="N16" s="84">
        <f>+K16-J16</f>
        <v>692512</v>
      </c>
      <c r="O16" s="85">
        <f>IF(K16=0,0,N16/K16)</f>
        <v>0.12832347406113317</v>
      </c>
      <c r="P16" s="25"/>
      <c r="R16" s="25"/>
    </row>
    <row r="17" spans="2:18" ht="16.5">
      <c r="B17" s="26"/>
      <c r="C17" s="26"/>
      <c r="D17" s="26"/>
      <c r="E17" s="26"/>
      <c r="F17" s="26"/>
      <c r="G17" s="26"/>
      <c r="H17" s="26"/>
      <c r="I17" s="84"/>
      <c r="J17" s="84"/>
      <c r="K17" s="84"/>
      <c r="L17" s="84"/>
      <c r="M17" s="85"/>
      <c r="N17" s="84"/>
      <c r="O17" s="85"/>
      <c r="P17" s="25"/>
      <c r="R17" s="25"/>
    </row>
    <row r="18" spans="3:18" ht="15.75">
      <c r="C18" s="25" t="s">
        <v>225</v>
      </c>
      <c r="I18" s="9">
        <v>764464</v>
      </c>
      <c r="J18" s="9">
        <v>823853</v>
      </c>
      <c r="K18" s="9">
        <v>867018</v>
      </c>
      <c r="L18" s="9">
        <f>+J18-I18</f>
        <v>59389</v>
      </c>
      <c r="M18" s="80">
        <f>IF(I18=0,0,L18/I18)</f>
        <v>0.0776871114924967</v>
      </c>
      <c r="N18" s="9">
        <f>+K18-J18</f>
        <v>43165</v>
      </c>
      <c r="O18" s="80">
        <f>IF(K18=0,0,N18/K18)</f>
        <v>0.04978558691976406</v>
      </c>
      <c r="P18" s="25"/>
      <c r="R18" s="25"/>
    </row>
    <row r="19" spans="9:18" ht="15.75">
      <c r="I19" s="9"/>
      <c r="J19" s="9"/>
      <c r="K19" s="9"/>
      <c r="L19" s="9"/>
      <c r="M19" s="80"/>
      <c r="N19" s="9"/>
      <c r="O19" s="80"/>
      <c r="P19" s="25"/>
      <c r="R19" s="25"/>
    </row>
    <row r="20" spans="3:18" ht="18.75" customHeight="1">
      <c r="C20" s="25" t="s">
        <v>226</v>
      </c>
      <c r="I20" s="9">
        <v>3167508</v>
      </c>
      <c r="J20" s="9">
        <v>3880247</v>
      </c>
      <c r="K20" s="9">
        <v>4529594</v>
      </c>
      <c r="L20" s="9">
        <f>+J20-I20</f>
        <v>712739</v>
      </c>
      <c r="M20" s="80">
        <f>IF(I20=0,0,L20/I20)</f>
        <v>0.2250156905681059</v>
      </c>
      <c r="N20" s="9">
        <f>+K20-J20</f>
        <v>649347</v>
      </c>
      <c r="O20" s="80">
        <f>IF(K20=0,0,N20/K20)</f>
        <v>0.14335655690112623</v>
      </c>
      <c r="P20" s="25"/>
      <c r="R20" s="25"/>
    </row>
    <row r="21" spans="9:18" ht="18.75" customHeight="1">
      <c r="I21" s="9"/>
      <c r="J21" s="9"/>
      <c r="K21" s="9"/>
      <c r="L21" s="9"/>
      <c r="M21" s="80"/>
      <c r="N21" s="9"/>
      <c r="O21" s="80"/>
      <c r="P21" s="25"/>
      <c r="R21" s="25"/>
    </row>
    <row r="22" spans="1:18" ht="15.75">
      <c r="A22" s="44"/>
      <c r="I22" s="9"/>
      <c r="J22" s="9"/>
      <c r="K22" s="9"/>
      <c r="L22" s="9"/>
      <c r="M22" s="55"/>
      <c r="N22" s="9"/>
      <c r="O22" s="55"/>
      <c r="P22" s="25"/>
      <c r="R22" s="25"/>
    </row>
    <row r="23" spans="9:18" ht="15.75">
      <c r="I23" s="9">
        <v>2259572</v>
      </c>
      <c r="J23" s="9"/>
      <c r="K23" s="9"/>
      <c r="L23" s="9"/>
      <c r="M23" s="55"/>
      <c r="N23" s="9"/>
      <c r="O23" s="55"/>
      <c r="P23" s="25"/>
      <c r="R23" s="25"/>
    </row>
    <row r="24" spans="2:18" ht="16.5">
      <c r="B24" s="26" t="s">
        <v>294</v>
      </c>
      <c r="C24" s="26"/>
      <c r="D24" s="26"/>
      <c r="E24" s="26"/>
      <c r="F24" s="26"/>
      <c r="G24" s="26"/>
      <c r="H24" s="26"/>
      <c r="I24" s="84">
        <f>SUM(I26:I40)</f>
        <v>2259572</v>
      </c>
      <c r="J24" s="84">
        <f>SUM(J26:J40)-J34</f>
        <v>5538472</v>
      </c>
      <c r="K24" s="84">
        <f>SUM(K26:K40)</f>
        <v>1763061</v>
      </c>
      <c r="L24" s="84">
        <f>+J24-I24</f>
        <v>3278900</v>
      </c>
      <c r="M24" s="85">
        <f>IF(I24=0,0,L24/I24)</f>
        <v>1.451115520992471</v>
      </c>
      <c r="N24" s="84">
        <f>+K24-J24</f>
        <v>-3775411</v>
      </c>
      <c r="O24" s="85">
        <f>IF(K24=0,0,N24/K24)</f>
        <v>-2.1413955614695124</v>
      </c>
      <c r="P24" s="25"/>
      <c r="R24" s="25"/>
    </row>
    <row r="25" spans="9:18" ht="15.75">
      <c r="I25" s="9">
        <f>+I24-I23</f>
        <v>0</v>
      </c>
      <c r="J25" s="9"/>
      <c r="K25" s="9"/>
      <c r="L25" s="9"/>
      <c r="M25" s="55"/>
      <c r="N25" s="9"/>
      <c r="O25" s="55"/>
      <c r="P25" s="25"/>
      <c r="R25" s="25"/>
    </row>
    <row r="26" spans="2:18" ht="15.75">
      <c r="B26" s="25" t="s">
        <v>291</v>
      </c>
      <c r="I26" s="9">
        <f>236572-28762</f>
        <v>207810</v>
      </c>
      <c r="J26" s="9">
        <v>207900</v>
      </c>
      <c r="K26" s="9">
        <v>216200</v>
      </c>
      <c r="L26" s="9">
        <f>+J26-I26</f>
        <v>90</v>
      </c>
      <c r="M26" s="80">
        <f>IF(I26=0,0,L26/I26)</f>
        <v>0.00043308791684711995</v>
      </c>
      <c r="N26" s="9">
        <f>+K26-J26</f>
        <v>8300</v>
      </c>
      <c r="O26" s="80">
        <f>IF(K26=0,0,N26/K26)</f>
        <v>0.03839037927844589</v>
      </c>
      <c r="P26" s="25"/>
      <c r="R26" s="25"/>
    </row>
    <row r="27" spans="9:18" ht="15.75">
      <c r="I27" s="9"/>
      <c r="J27" s="9"/>
      <c r="K27" s="9"/>
      <c r="L27" s="9"/>
      <c r="M27" s="55"/>
      <c r="N27" s="9"/>
      <c r="O27" s="55"/>
      <c r="P27" s="25"/>
      <c r="R27" s="25"/>
    </row>
    <row r="28" spans="2:18" ht="15.75">
      <c r="B28" s="25" t="s">
        <v>292</v>
      </c>
      <c r="I28" s="9">
        <v>385366</v>
      </c>
      <c r="J28" s="9">
        <f>146642+250717</f>
        <v>397359</v>
      </c>
      <c r="K28" s="9">
        <v>193241</v>
      </c>
      <c r="L28" s="9">
        <f>+J28-I28</f>
        <v>11993</v>
      </c>
      <c r="M28" s="80">
        <f>IF(I28=0,0,L28/I28)</f>
        <v>0.03112106413124147</v>
      </c>
      <c r="N28" s="9">
        <f>+K28-J28</f>
        <v>-204118</v>
      </c>
      <c r="O28" s="80">
        <f>IF(K28=0,0,N28/K28)</f>
        <v>-1.056287226830745</v>
      </c>
      <c r="P28" s="25"/>
      <c r="R28" s="25"/>
    </row>
    <row r="29" spans="9:18" ht="15.75">
      <c r="I29" s="9"/>
      <c r="J29" s="9"/>
      <c r="K29" s="9"/>
      <c r="L29" s="9"/>
      <c r="M29" s="55"/>
      <c r="N29" s="9"/>
      <c r="O29" s="55"/>
      <c r="P29" s="25"/>
      <c r="R29" s="25"/>
    </row>
    <row r="30" spans="2:18" ht="15.75">
      <c r="B30" s="25" t="s">
        <v>228</v>
      </c>
      <c r="I30" s="9">
        <v>112189</v>
      </c>
      <c r="J30" s="9">
        <v>101015</v>
      </c>
      <c r="K30" s="9">
        <v>116167</v>
      </c>
      <c r="L30" s="9">
        <f>+J30-I30</f>
        <v>-11174</v>
      </c>
      <c r="M30" s="80">
        <f>IF(I30=0,0,L30/I30)</f>
        <v>-0.09959978250987174</v>
      </c>
      <c r="N30" s="9">
        <f>+K30-J30</f>
        <v>15152</v>
      </c>
      <c r="O30" s="80">
        <f>IF(K30=0,0,N30/K30)</f>
        <v>0.13043291123985298</v>
      </c>
      <c r="P30" s="25"/>
      <c r="R30" s="25"/>
    </row>
    <row r="31" spans="9:18" ht="15.75">
      <c r="I31" s="9"/>
      <c r="J31" s="9"/>
      <c r="K31" s="9"/>
      <c r="L31" s="9"/>
      <c r="M31" s="80"/>
      <c r="N31" s="9"/>
      <c r="O31" s="80"/>
      <c r="P31" s="25"/>
      <c r="R31" s="25"/>
    </row>
    <row r="32" spans="2:18" ht="15.75">
      <c r="B32" s="25" t="s">
        <v>227</v>
      </c>
      <c r="I32" s="9">
        <v>397467</v>
      </c>
      <c r="J32" s="9">
        <v>468912</v>
      </c>
      <c r="K32" s="9">
        <v>553335</v>
      </c>
      <c r="L32" s="9">
        <f>+J32-I32</f>
        <v>71445</v>
      </c>
      <c r="M32" s="80">
        <f>IF(I32=0,0,L32/I32)</f>
        <v>0.17975077176218404</v>
      </c>
      <c r="N32" s="9">
        <f>+K32-J32</f>
        <v>84423</v>
      </c>
      <c r="O32" s="80">
        <f>IF(K32=0,0,N32/K32)</f>
        <v>0.1525712271950988</v>
      </c>
      <c r="P32" s="25"/>
      <c r="R32" s="25"/>
    </row>
    <row r="33" spans="9:18" ht="15.75">
      <c r="I33" s="9"/>
      <c r="J33" s="9"/>
      <c r="K33" s="9"/>
      <c r="L33" s="9"/>
      <c r="M33" s="55"/>
      <c r="N33" s="9"/>
      <c r="O33" s="55"/>
      <c r="P33" s="25"/>
      <c r="R33" s="25"/>
    </row>
    <row r="34" spans="2:18" ht="15.75">
      <c r="B34" s="25" t="s">
        <v>295</v>
      </c>
      <c r="I34" s="9">
        <v>290000</v>
      </c>
      <c r="J34" s="9">
        <v>342210</v>
      </c>
      <c r="K34" s="9">
        <v>404618</v>
      </c>
      <c r="L34" s="9">
        <f>+J34-I34</f>
        <v>52210</v>
      </c>
      <c r="M34" s="80">
        <f>IF(I34=0,0,L34/I34)</f>
        <v>0.1800344827586207</v>
      </c>
      <c r="N34" s="9">
        <f>+K34-J34</f>
        <v>62408</v>
      </c>
      <c r="O34" s="80">
        <f>IF(K34=0,0,N34/K34)</f>
        <v>0.15423930719839454</v>
      </c>
      <c r="P34" s="25"/>
      <c r="R34" s="25"/>
    </row>
    <row r="35" spans="9:18" ht="15.75">
      <c r="I35" s="9"/>
      <c r="J35" s="9"/>
      <c r="K35" s="9"/>
      <c r="L35" s="9"/>
      <c r="M35" s="55"/>
      <c r="N35" s="9"/>
      <c r="O35" s="55"/>
      <c r="P35" s="25"/>
      <c r="R35" s="25"/>
    </row>
    <row r="36" spans="2:18" ht="15.75">
      <c r="B36" s="25" t="s">
        <v>304</v>
      </c>
      <c r="I36" s="9">
        <v>231642</v>
      </c>
      <c r="J36" s="9">
        <v>836000</v>
      </c>
      <c r="K36" s="9">
        <v>0</v>
      </c>
      <c r="L36" s="9"/>
      <c r="M36" s="55"/>
      <c r="N36" s="9"/>
      <c r="O36" s="55"/>
      <c r="P36" s="25"/>
      <c r="R36" s="25"/>
    </row>
    <row r="37" spans="9:18" ht="15.75">
      <c r="I37" s="9"/>
      <c r="J37" s="9"/>
      <c r="K37" s="9"/>
      <c r="L37" s="9"/>
      <c r="M37" s="55"/>
      <c r="N37" s="9"/>
      <c r="O37" s="55"/>
      <c r="P37" s="25"/>
      <c r="R37" s="25"/>
    </row>
    <row r="38" spans="2:18" ht="15.75">
      <c r="B38" s="25" t="s">
        <v>296</v>
      </c>
      <c r="I38" s="9">
        <v>31064</v>
      </c>
      <c r="J38" s="9">
        <v>2842000</v>
      </c>
      <c r="K38" s="9">
        <v>0</v>
      </c>
      <c r="L38" s="9">
        <f>+J38-I38</f>
        <v>2810936</v>
      </c>
      <c r="M38" s="80">
        <f>IF(I38=0,0,L38/I38)</f>
        <v>90.48853978882308</v>
      </c>
      <c r="N38" s="9">
        <f>+K38-J38</f>
        <v>-2842000</v>
      </c>
      <c r="O38" s="80">
        <f>IF(K38=0,0,N38/K38)</f>
        <v>0</v>
      </c>
      <c r="P38" s="25"/>
      <c r="R38" s="25"/>
    </row>
    <row r="39" spans="9:18" ht="15.75">
      <c r="I39" s="9"/>
      <c r="J39" s="9"/>
      <c r="K39" s="9"/>
      <c r="L39" s="9"/>
      <c r="M39" s="55"/>
      <c r="N39" s="9"/>
      <c r="O39" s="55"/>
      <c r="P39" s="25"/>
      <c r="R39" s="25"/>
    </row>
    <row r="40" spans="2:18" ht="15.75">
      <c r="B40" s="25" t="s">
        <v>99</v>
      </c>
      <c r="I40" s="9">
        <f>122622+12818+210+190+109900+311586+84169+12904+3952+1178+19+13513-69027</f>
        <v>604034</v>
      </c>
      <c r="J40" s="9">
        <f>134600+121500+14582+1936+4200+13139+237988+82741+74600</f>
        <v>685286</v>
      </c>
      <c r="K40" s="9">
        <f>139370+126587+11932+1900+4448+45239-49976</f>
        <v>279500</v>
      </c>
      <c r="L40" s="9">
        <f>+J40-I40</f>
        <v>81252</v>
      </c>
      <c r="M40" s="80">
        <f>IF(I40=0,0,L40/I40)</f>
        <v>0.1345156067373691</v>
      </c>
      <c r="N40" s="9">
        <f>+K40-J40</f>
        <v>-405786</v>
      </c>
      <c r="O40" s="80">
        <f>IF(K40=0,0,N40/K40)</f>
        <v>-1.4518282647584972</v>
      </c>
      <c r="P40" s="25"/>
      <c r="R40" s="25"/>
    </row>
    <row r="41" spans="9:18" ht="15.75">
      <c r="I41" s="9"/>
      <c r="J41" s="9"/>
      <c r="K41" s="9"/>
      <c r="L41" s="9"/>
      <c r="M41" s="9"/>
      <c r="N41" s="9"/>
      <c r="O41" s="9"/>
      <c r="P41" s="25"/>
      <c r="R41" s="25"/>
    </row>
    <row r="42" spans="9:18" ht="15.75">
      <c r="I42" s="9"/>
      <c r="J42" s="9"/>
      <c r="K42" s="9"/>
      <c r="L42" s="9"/>
      <c r="M42" s="80"/>
      <c r="N42" s="9"/>
      <c r="O42" s="80"/>
      <c r="P42" s="25"/>
      <c r="R42" s="25"/>
    </row>
    <row r="43" spans="2:18" ht="15.75">
      <c r="B43" s="25" t="s">
        <v>305</v>
      </c>
      <c r="I43" s="9"/>
      <c r="J43" s="9"/>
      <c r="K43" s="9"/>
      <c r="L43" s="9"/>
      <c r="M43" s="80"/>
      <c r="N43" s="9"/>
      <c r="O43" s="80"/>
      <c r="P43" s="25"/>
      <c r="R43" s="25"/>
    </row>
    <row r="44" spans="2:18" ht="15.75">
      <c r="B44" s="25" t="s">
        <v>293</v>
      </c>
      <c r="I44" s="9"/>
      <c r="J44" s="9"/>
      <c r="K44" s="9"/>
      <c r="L44" s="9"/>
      <c r="M44" s="80"/>
      <c r="N44" s="9"/>
      <c r="O44" s="80"/>
      <c r="P44" s="25"/>
      <c r="R44" s="25"/>
    </row>
    <row r="45" spans="9:18" ht="15.75">
      <c r="I45" s="9"/>
      <c r="J45" s="9"/>
      <c r="K45" s="9"/>
      <c r="L45" s="9"/>
      <c r="M45" s="80"/>
      <c r="N45" s="9"/>
      <c r="O45" s="80"/>
      <c r="P45" s="25"/>
      <c r="R45" s="25"/>
    </row>
    <row r="46" spans="9:18" ht="15.75">
      <c r="I46" s="9"/>
      <c r="J46" s="9"/>
      <c r="K46" s="9"/>
      <c r="L46" s="9"/>
      <c r="M46" s="80"/>
      <c r="N46" s="9"/>
      <c r="O46" s="80"/>
      <c r="P46" s="25"/>
      <c r="R46" s="25"/>
    </row>
    <row r="47" spans="1:18" s="47" customFormat="1" ht="15.75">
      <c r="A47" s="95" t="s">
        <v>1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</row>
    <row r="48" spans="1:18" s="47" customFormat="1" ht="15.75">
      <c r="A48" s="95" t="s">
        <v>283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</row>
    <row r="49" spans="1:18" s="47" customFormat="1" ht="16.5" customHeight="1">
      <c r="A49" s="95" t="s">
        <v>0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</row>
    <row r="50" spans="1:18" s="31" customFormat="1" ht="16.5" customHeight="1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</row>
    <row r="51" spans="1:18" s="47" customFormat="1" ht="15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56"/>
      <c r="P51" s="56"/>
      <c r="R51" s="56"/>
    </row>
    <row r="52" spans="1:18" s="47" customFormat="1" ht="16.5">
      <c r="A52" s="93" t="s">
        <v>26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</row>
    <row r="53" spans="1:18" s="47" customFormat="1" ht="15.75">
      <c r="A53" s="92" t="s">
        <v>3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</row>
    <row r="54" spans="1:15" s="47" customFormat="1" ht="15.7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52"/>
      <c r="N54" s="43"/>
      <c r="O54" s="52"/>
    </row>
    <row r="55" spans="1:18" ht="15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55"/>
      <c r="N55" s="25"/>
      <c r="O55" s="55"/>
      <c r="P55" s="25"/>
      <c r="R55" s="25"/>
    </row>
    <row r="56" spans="1:18" ht="15.75">
      <c r="A56" s="9"/>
      <c r="B56" s="9"/>
      <c r="C56" s="9"/>
      <c r="D56" s="9"/>
      <c r="E56" s="9"/>
      <c r="F56" s="9"/>
      <c r="G56" s="9"/>
      <c r="H56" s="9"/>
      <c r="I56" s="10" t="s">
        <v>201</v>
      </c>
      <c r="J56" s="10" t="s">
        <v>211</v>
      </c>
      <c r="K56" s="10" t="s">
        <v>277</v>
      </c>
      <c r="L56" s="92" t="s">
        <v>212</v>
      </c>
      <c r="M56" s="92"/>
      <c r="N56" s="92" t="s">
        <v>278</v>
      </c>
      <c r="O56" s="92"/>
      <c r="P56" s="25"/>
      <c r="R56" s="25"/>
    </row>
    <row r="57" spans="1:18" ht="15.75">
      <c r="A57" s="9"/>
      <c r="B57" s="9"/>
      <c r="C57" s="9"/>
      <c r="D57" s="9"/>
      <c r="E57" s="9"/>
      <c r="F57" s="9"/>
      <c r="G57" s="9"/>
      <c r="H57" s="9"/>
      <c r="I57" s="11" t="s">
        <v>22</v>
      </c>
      <c r="J57" s="11" t="s">
        <v>23</v>
      </c>
      <c r="K57" s="11" t="s">
        <v>23</v>
      </c>
      <c r="L57" s="11" t="s">
        <v>24</v>
      </c>
      <c r="M57" s="54" t="s">
        <v>25</v>
      </c>
      <c r="N57" s="11" t="s">
        <v>24</v>
      </c>
      <c r="O57" s="54" t="s">
        <v>25</v>
      </c>
      <c r="P57" s="25"/>
      <c r="R57" s="25"/>
    </row>
    <row r="58" spans="13:18" ht="15.75">
      <c r="M58" s="55"/>
      <c r="N58" s="25"/>
      <c r="O58" s="55"/>
      <c r="P58" s="25"/>
      <c r="R58" s="25"/>
    </row>
    <row r="59" spans="1:18" ht="16.5">
      <c r="A59" s="28" t="s">
        <v>220</v>
      </c>
      <c r="B59" s="26"/>
      <c r="C59" s="26"/>
      <c r="D59" s="26"/>
      <c r="L59" s="9"/>
      <c r="M59" s="55"/>
      <c r="N59" s="9"/>
      <c r="O59" s="55"/>
      <c r="P59" s="25"/>
      <c r="R59" s="25"/>
    </row>
    <row r="60" spans="12:18" ht="15.75">
      <c r="L60" s="9"/>
      <c r="M60" s="55"/>
      <c r="N60" s="9"/>
      <c r="O60" s="55"/>
      <c r="P60" s="25"/>
      <c r="R60" s="25"/>
    </row>
    <row r="61" spans="1:18" ht="15.75">
      <c r="A61" s="25" t="s">
        <v>222</v>
      </c>
      <c r="I61" s="9"/>
      <c r="J61" s="9"/>
      <c r="K61" s="9"/>
      <c r="L61" s="9"/>
      <c r="M61" s="55"/>
      <c r="N61" s="9"/>
      <c r="O61" s="55"/>
      <c r="P61" s="25"/>
      <c r="R61" s="25"/>
    </row>
    <row r="62" spans="1:18" ht="15.75">
      <c r="A62" s="25" t="s">
        <v>223</v>
      </c>
      <c r="I62" s="9"/>
      <c r="J62" s="9"/>
      <c r="K62" s="9"/>
      <c r="L62" s="9"/>
      <c r="M62" s="55"/>
      <c r="N62" s="9"/>
      <c r="O62" s="55"/>
      <c r="P62" s="25"/>
      <c r="R62" s="25"/>
    </row>
    <row r="63" spans="1:18" ht="15.75">
      <c r="A63" s="25" t="s">
        <v>248</v>
      </c>
      <c r="I63" s="9">
        <v>0</v>
      </c>
      <c r="J63" s="9">
        <v>273192</v>
      </c>
      <c r="K63" s="9">
        <v>289569</v>
      </c>
      <c r="L63" s="9">
        <f>+J63-I63</f>
        <v>273192</v>
      </c>
      <c r="M63" s="80">
        <f>IF(I63=0,0,L63/I63)</f>
        <v>0</v>
      </c>
      <c r="N63" s="9">
        <f>+K63-J63</f>
        <v>16377</v>
      </c>
      <c r="O63" s="80">
        <f>IF(K63=0,0,N63/K63)</f>
        <v>0.05655646840649379</v>
      </c>
      <c r="P63" s="25"/>
      <c r="R63" s="25"/>
    </row>
    <row r="64" spans="9:18" ht="15.75">
      <c r="I64" s="9"/>
      <c r="J64" s="9"/>
      <c r="K64" s="9"/>
      <c r="L64" s="9"/>
      <c r="M64" s="55"/>
      <c r="N64" s="9"/>
      <c r="O64" s="55"/>
      <c r="P64" s="25"/>
      <c r="R64" s="25"/>
    </row>
    <row r="65" spans="1:18" ht="15.75">
      <c r="A65" s="44" t="s">
        <v>196</v>
      </c>
      <c r="I65" s="9">
        <v>364414</v>
      </c>
      <c r="J65" s="9">
        <v>242433</v>
      </c>
      <c r="K65" s="9">
        <v>252694</v>
      </c>
      <c r="L65" s="9"/>
      <c r="M65" s="55"/>
      <c r="N65" s="9"/>
      <c r="O65" s="55"/>
      <c r="P65" s="25"/>
      <c r="R65" s="25"/>
    </row>
    <row r="66" spans="2:18" ht="15.75">
      <c r="B66" s="25" t="s">
        <v>192</v>
      </c>
      <c r="I66" s="9">
        <v>58579</v>
      </c>
      <c r="J66" s="9">
        <v>58962</v>
      </c>
      <c r="K66" s="9">
        <v>60766</v>
      </c>
      <c r="L66" s="9">
        <f>+J66-I66</f>
        <v>383</v>
      </c>
      <c r="M66" s="80">
        <f>IF(I66=0,0,L66/I66)</f>
        <v>0.006538179210980044</v>
      </c>
      <c r="N66" s="9">
        <f>+K66-J66</f>
        <v>1804</v>
      </c>
      <c r="O66" s="80">
        <f>IF(K66=0,0,N66/K66)</f>
        <v>0.029687654280354147</v>
      </c>
      <c r="P66" s="25"/>
      <c r="R66" s="25"/>
    </row>
    <row r="67" spans="3:18" ht="15.75">
      <c r="C67" s="25" t="s">
        <v>221</v>
      </c>
      <c r="I67" s="9" t="s">
        <v>275</v>
      </c>
      <c r="J67" s="9" t="s">
        <v>275</v>
      </c>
      <c r="K67" s="9" t="s">
        <v>275</v>
      </c>
      <c r="L67" s="9" t="s">
        <v>275</v>
      </c>
      <c r="M67" s="55" t="s">
        <v>275</v>
      </c>
      <c r="N67" s="9" t="s">
        <v>275</v>
      </c>
      <c r="O67" s="55" t="s">
        <v>275</v>
      </c>
      <c r="P67" s="25"/>
      <c r="R67" s="25"/>
    </row>
    <row r="68" spans="2:18" ht="15.75">
      <c r="B68" s="25" t="s">
        <v>97</v>
      </c>
      <c r="I68" s="9">
        <v>1073</v>
      </c>
      <c r="J68" s="9">
        <v>1093</v>
      </c>
      <c r="K68" s="9">
        <v>1114</v>
      </c>
      <c r="L68" s="9">
        <f>+J68-I68</f>
        <v>20</v>
      </c>
      <c r="M68" s="80">
        <f>IF(I68=0,0,L68/I68)</f>
        <v>0.01863932898415657</v>
      </c>
      <c r="N68" s="9">
        <f aca="true" t="shared" si="0" ref="N68:N73">+K68-J68</f>
        <v>21</v>
      </c>
      <c r="O68" s="80">
        <f>IF(K68=0,0,N68/K68)</f>
        <v>0.018850987432675045</v>
      </c>
      <c r="P68" s="25"/>
      <c r="R68" s="25"/>
    </row>
    <row r="69" spans="2:18" ht="15.75">
      <c r="B69" s="25" t="s">
        <v>193</v>
      </c>
      <c r="I69" s="9" t="s">
        <v>275</v>
      </c>
      <c r="J69" s="9" t="s">
        <v>275</v>
      </c>
      <c r="K69" s="9" t="s">
        <v>275</v>
      </c>
      <c r="L69" s="9"/>
      <c r="M69" s="55"/>
      <c r="N69" s="9"/>
      <c r="O69" s="55"/>
      <c r="P69" s="25"/>
      <c r="R69" s="25"/>
    </row>
    <row r="70" spans="3:18" ht="15.75">
      <c r="C70" s="25" t="s">
        <v>247</v>
      </c>
      <c r="I70" s="9">
        <v>8181</v>
      </c>
      <c r="J70" s="9">
        <v>8377</v>
      </c>
      <c r="K70" s="9">
        <v>8578</v>
      </c>
      <c r="L70" s="9">
        <f>+J70-I70</f>
        <v>196</v>
      </c>
      <c r="M70" s="80">
        <f>IF(I70=0,0,L70/I70)</f>
        <v>0.023957951350690624</v>
      </c>
      <c r="N70" s="9">
        <f t="shared" si="0"/>
        <v>201</v>
      </c>
      <c r="O70" s="80">
        <f>IF(K70=0,0,N70/K70)</f>
        <v>0.023432035439496388</v>
      </c>
      <c r="P70" s="25"/>
      <c r="R70" s="25"/>
    </row>
    <row r="71" spans="2:18" ht="15.75">
      <c r="B71" s="25" t="s">
        <v>98</v>
      </c>
      <c r="I71" s="9">
        <v>29017</v>
      </c>
      <c r="J71" s="9">
        <v>29717</v>
      </c>
      <c r="K71" s="9">
        <v>30438</v>
      </c>
      <c r="L71" s="9">
        <f>+J71-I71</f>
        <v>700</v>
      </c>
      <c r="M71" s="80">
        <f>IF(I71=0,0,L71/I71)</f>
        <v>0.02412378950270531</v>
      </c>
      <c r="N71" s="9">
        <f t="shared" si="0"/>
        <v>721</v>
      </c>
      <c r="O71" s="80">
        <f>IF(K71=0,0,N71/K71)</f>
        <v>0.02368749589329128</v>
      </c>
      <c r="P71" s="25"/>
      <c r="R71" s="25"/>
    </row>
    <row r="72" spans="2:18" ht="15.75">
      <c r="B72" s="25" t="s">
        <v>99</v>
      </c>
      <c r="I72" s="13">
        <f>227169+40395</f>
        <v>267564</v>
      </c>
      <c r="J72" s="13">
        <v>144284</v>
      </c>
      <c r="K72" s="13">
        <v>151798</v>
      </c>
      <c r="L72" s="9">
        <f>+J72-I72</f>
        <v>-123280</v>
      </c>
      <c r="M72" s="80">
        <f>IF(I72=0,0,L72/I72)</f>
        <v>-0.4607495776711366</v>
      </c>
      <c r="N72" s="9">
        <f t="shared" si="0"/>
        <v>7514</v>
      </c>
      <c r="O72" s="80">
        <f>IF(K72=0,0,N72/K72)</f>
        <v>0.049499993412297924</v>
      </c>
      <c r="P72" s="25"/>
      <c r="R72" s="25"/>
    </row>
    <row r="73" spans="3:18" ht="15.75">
      <c r="C73" s="25" t="s">
        <v>100</v>
      </c>
      <c r="I73" s="9">
        <f>SUM(I66:I72)</f>
        <v>364414</v>
      </c>
      <c r="J73" s="9">
        <f>SUM(J66:J72)</f>
        <v>242433</v>
      </c>
      <c r="K73" s="9">
        <f>SUM(K66:K72)</f>
        <v>252694</v>
      </c>
      <c r="L73" s="9">
        <f>SUM(L66:L72)</f>
        <v>-121981</v>
      </c>
      <c r="M73" s="80">
        <f>IF(I73=0,0,L73/I73)</f>
        <v>-0.33473192577672645</v>
      </c>
      <c r="N73" s="9">
        <f t="shared" si="0"/>
        <v>10261</v>
      </c>
      <c r="O73" s="80">
        <f>IF(K73=0,0,N73/K73)</f>
        <v>0.040606425162449444</v>
      </c>
      <c r="P73" s="25"/>
      <c r="R73" s="25"/>
    </row>
    <row r="74" spans="9:18" ht="15.75">
      <c r="I74" s="9"/>
      <c r="J74" s="9"/>
      <c r="K74" s="9"/>
      <c r="L74" s="9"/>
      <c r="M74" s="55"/>
      <c r="N74" s="9"/>
      <c r="O74" s="55"/>
      <c r="P74" s="25"/>
      <c r="R74" s="25"/>
    </row>
    <row r="75" spans="1:18" ht="15.75">
      <c r="A75" s="25" t="s">
        <v>197</v>
      </c>
      <c r="I75" s="9">
        <v>198202</v>
      </c>
      <c r="J75" s="9">
        <v>203808</v>
      </c>
      <c r="K75" s="9">
        <v>208633</v>
      </c>
      <c r="L75" s="9"/>
      <c r="M75" s="55"/>
      <c r="N75" s="9"/>
      <c r="O75" s="55"/>
      <c r="P75" s="25"/>
      <c r="R75" s="25"/>
    </row>
    <row r="76" spans="2:18" ht="15.75">
      <c r="B76" s="25" t="s">
        <v>101</v>
      </c>
      <c r="I76" s="9">
        <v>1865</v>
      </c>
      <c r="J76" s="9">
        <v>1933</v>
      </c>
      <c r="K76" s="9">
        <v>2001</v>
      </c>
      <c r="L76" s="9">
        <f aca="true" t="shared" si="1" ref="L76:L86">+J76-I76</f>
        <v>68</v>
      </c>
      <c r="M76" s="80">
        <f aca="true" t="shared" si="2" ref="M76:M87">IF(I76=0,0,L76/I76)</f>
        <v>0.03646112600536193</v>
      </c>
      <c r="N76" s="9">
        <f aca="true" t="shared" si="3" ref="N76:N86">+K76-J76</f>
        <v>68</v>
      </c>
      <c r="O76" s="80">
        <f aca="true" t="shared" si="4" ref="O76:O87">IF(K76=0,0,N76/K76)</f>
        <v>0.03398300849575212</v>
      </c>
      <c r="P76" s="25"/>
      <c r="R76" s="25"/>
    </row>
    <row r="77" spans="2:18" ht="15.75">
      <c r="B77" s="25" t="s">
        <v>102</v>
      </c>
      <c r="I77" s="9">
        <v>10005</v>
      </c>
      <c r="J77" s="9">
        <v>5</v>
      </c>
      <c r="K77" s="9">
        <v>6</v>
      </c>
      <c r="L77" s="9">
        <f t="shared" si="1"/>
        <v>-10000</v>
      </c>
      <c r="M77" s="80">
        <f t="shared" si="2"/>
        <v>-0.9995002498750625</v>
      </c>
      <c r="N77" s="9">
        <f t="shared" si="3"/>
        <v>1</v>
      </c>
      <c r="O77" s="80">
        <f t="shared" si="4"/>
        <v>0.16666666666666666</v>
      </c>
      <c r="P77" s="25"/>
      <c r="R77" s="25"/>
    </row>
    <row r="78" spans="2:18" ht="15.75">
      <c r="B78" s="25" t="s">
        <v>103</v>
      </c>
      <c r="I78" s="9">
        <v>10505</v>
      </c>
      <c r="J78" s="9">
        <v>10248</v>
      </c>
      <c r="K78" s="9">
        <v>10501</v>
      </c>
      <c r="L78" s="9">
        <f t="shared" si="1"/>
        <v>-257</v>
      </c>
      <c r="M78" s="80">
        <f t="shared" si="2"/>
        <v>-0.024464540694907187</v>
      </c>
      <c r="N78" s="9">
        <f t="shared" si="3"/>
        <v>253</v>
      </c>
      <c r="O78" s="80">
        <f t="shared" si="4"/>
        <v>0.024092943529187696</v>
      </c>
      <c r="P78" s="25"/>
      <c r="R78" s="25"/>
    </row>
    <row r="79" spans="2:18" ht="15.75">
      <c r="B79" s="25" t="s">
        <v>104</v>
      </c>
      <c r="I79" s="9">
        <v>18036</v>
      </c>
      <c r="J79" s="9">
        <v>18455</v>
      </c>
      <c r="K79" s="9">
        <v>18943</v>
      </c>
      <c r="L79" s="9">
        <f t="shared" si="1"/>
        <v>419</v>
      </c>
      <c r="M79" s="80">
        <f t="shared" si="2"/>
        <v>0.023231315147482813</v>
      </c>
      <c r="N79" s="9">
        <f t="shared" si="3"/>
        <v>488</v>
      </c>
      <c r="O79" s="80">
        <f t="shared" si="4"/>
        <v>0.02576149501134984</v>
      </c>
      <c r="P79" s="25"/>
      <c r="R79" s="25"/>
    </row>
    <row r="80" spans="2:18" ht="15.75">
      <c r="B80" s="25" t="s">
        <v>229</v>
      </c>
      <c r="I80" s="9">
        <v>2673</v>
      </c>
      <c r="J80" s="9">
        <v>2783</v>
      </c>
      <c r="K80" s="9">
        <v>2897</v>
      </c>
      <c r="L80" s="9">
        <f t="shared" si="1"/>
        <v>110</v>
      </c>
      <c r="M80" s="80">
        <f t="shared" si="2"/>
        <v>0.0411522633744856</v>
      </c>
      <c r="N80" s="9">
        <f t="shared" si="3"/>
        <v>114</v>
      </c>
      <c r="O80" s="80">
        <f t="shared" si="4"/>
        <v>0.03935105281325509</v>
      </c>
      <c r="P80" s="25"/>
      <c r="R80" s="25"/>
    </row>
    <row r="81" spans="2:18" ht="15.75">
      <c r="B81" s="25" t="s">
        <v>230</v>
      </c>
      <c r="I81" s="9">
        <v>20358</v>
      </c>
      <c r="J81" s="9">
        <v>21192</v>
      </c>
      <c r="K81" s="9">
        <v>22061</v>
      </c>
      <c r="L81" s="9">
        <f t="shared" si="1"/>
        <v>834</v>
      </c>
      <c r="M81" s="80">
        <f t="shared" si="2"/>
        <v>0.04096669613910993</v>
      </c>
      <c r="N81" s="9">
        <f t="shared" si="3"/>
        <v>869</v>
      </c>
      <c r="O81" s="80">
        <f t="shared" si="4"/>
        <v>0.03939078010969584</v>
      </c>
      <c r="P81" s="25"/>
      <c r="R81" s="25"/>
    </row>
    <row r="82" spans="2:18" ht="15.75">
      <c r="B82" s="25" t="s">
        <v>231</v>
      </c>
      <c r="I82" s="9">
        <v>2137</v>
      </c>
      <c r="J82" s="9">
        <v>2221</v>
      </c>
      <c r="K82" s="9">
        <v>2267</v>
      </c>
      <c r="L82" s="9">
        <f t="shared" si="1"/>
        <v>84</v>
      </c>
      <c r="M82" s="80">
        <f t="shared" si="2"/>
        <v>0.039307440336920914</v>
      </c>
      <c r="N82" s="9">
        <f t="shared" si="3"/>
        <v>46</v>
      </c>
      <c r="O82" s="80">
        <f t="shared" si="4"/>
        <v>0.020291133656815175</v>
      </c>
      <c r="P82" s="25"/>
      <c r="R82" s="25"/>
    </row>
    <row r="83" spans="2:18" ht="15.75">
      <c r="B83" s="25" t="s">
        <v>194</v>
      </c>
      <c r="I83" s="9"/>
      <c r="J83" s="9"/>
      <c r="K83" s="9"/>
      <c r="L83" s="9"/>
      <c r="M83" s="80"/>
      <c r="N83" s="9"/>
      <c r="O83" s="80"/>
      <c r="P83" s="25"/>
      <c r="R83" s="25"/>
    </row>
    <row r="84" spans="3:18" ht="15.75">
      <c r="C84" s="25" t="s">
        <v>195</v>
      </c>
      <c r="I84" s="9">
        <v>23977</v>
      </c>
      <c r="J84" s="9">
        <v>24900</v>
      </c>
      <c r="K84" s="9">
        <v>25296</v>
      </c>
      <c r="L84" s="9">
        <f t="shared" si="1"/>
        <v>923</v>
      </c>
      <c r="M84" s="80">
        <f t="shared" si="2"/>
        <v>0.03849522459023231</v>
      </c>
      <c r="N84" s="9">
        <f t="shared" si="3"/>
        <v>396</v>
      </c>
      <c r="O84" s="80">
        <f t="shared" si="4"/>
        <v>0.015654648956356737</v>
      </c>
      <c r="P84" s="25"/>
      <c r="R84" s="25"/>
    </row>
    <row r="85" spans="2:18" ht="15.75">
      <c r="B85" s="25" t="s">
        <v>105</v>
      </c>
      <c r="I85" s="9">
        <v>11699</v>
      </c>
      <c r="J85" s="9">
        <v>11979</v>
      </c>
      <c r="K85" s="9">
        <v>12267</v>
      </c>
      <c r="L85" s="9">
        <f t="shared" si="1"/>
        <v>280</v>
      </c>
      <c r="M85" s="80">
        <f t="shared" si="2"/>
        <v>0.023933669544405504</v>
      </c>
      <c r="N85" s="9">
        <f t="shared" si="3"/>
        <v>288</v>
      </c>
      <c r="O85" s="80">
        <f t="shared" si="4"/>
        <v>0.02347762289068232</v>
      </c>
      <c r="P85" s="25"/>
      <c r="R85" s="25"/>
    </row>
    <row r="86" spans="2:18" ht="15.75">
      <c r="B86" s="25" t="s">
        <v>99</v>
      </c>
      <c r="I86" s="13">
        <f>126636-29689</f>
        <v>96947</v>
      </c>
      <c r="J86" s="13">
        <v>110092</v>
      </c>
      <c r="K86" s="13">
        <v>112394</v>
      </c>
      <c r="L86" s="9">
        <f t="shared" si="1"/>
        <v>13145</v>
      </c>
      <c r="M86" s="80">
        <f t="shared" si="2"/>
        <v>0.13558954892879616</v>
      </c>
      <c r="N86" s="9">
        <f t="shared" si="3"/>
        <v>2302</v>
      </c>
      <c r="O86" s="80">
        <f t="shared" si="4"/>
        <v>0.020481520365855828</v>
      </c>
      <c r="P86" s="25"/>
      <c r="R86" s="25"/>
    </row>
    <row r="87" spans="3:18" ht="15.75">
      <c r="C87" s="25" t="s">
        <v>106</v>
      </c>
      <c r="I87" s="9">
        <f>SUM(I76:I86)</f>
        <v>198202</v>
      </c>
      <c r="J87" s="9">
        <f>SUM(J76:J86)</f>
        <v>203808</v>
      </c>
      <c r="K87" s="9">
        <f>SUM(K76:K86)</f>
        <v>208633</v>
      </c>
      <c r="L87" s="9">
        <f>SUM(L76:L86)</f>
        <v>5606</v>
      </c>
      <c r="M87" s="80">
        <f t="shared" si="2"/>
        <v>0.02828427563798549</v>
      </c>
      <c r="N87" s="9">
        <f>SUM(N76:N86)</f>
        <v>4825</v>
      </c>
      <c r="O87" s="80">
        <f t="shared" si="4"/>
        <v>0.02312673450508788</v>
      </c>
      <c r="P87" s="25"/>
      <c r="R87" s="25"/>
    </row>
    <row r="88" spans="10:18" ht="15.75">
      <c r="J88" s="9" t="s">
        <v>275</v>
      </c>
      <c r="K88" s="9"/>
      <c r="M88" s="55"/>
      <c r="N88" s="25"/>
      <c r="O88" s="55"/>
      <c r="P88" s="25"/>
      <c r="R88" s="25"/>
    </row>
    <row r="89" spans="10:18" ht="15.75">
      <c r="J89" s="9" t="s">
        <v>275</v>
      </c>
      <c r="K89" s="9"/>
      <c r="M89" s="55"/>
      <c r="N89" s="25"/>
      <c r="O89" s="55"/>
      <c r="P89" s="25"/>
      <c r="R89" s="25"/>
    </row>
    <row r="90" spans="9:18" ht="15.75">
      <c r="I90" s="9"/>
      <c r="J90" s="9"/>
      <c r="K90" s="9"/>
      <c r="L90" s="9"/>
      <c r="M90" s="55"/>
      <c r="N90" s="9"/>
      <c r="O90" s="55"/>
      <c r="P90" s="25"/>
      <c r="R90" s="25"/>
    </row>
    <row r="91" spans="13:18" ht="15.75">
      <c r="M91" s="55"/>
      <c r="N91" s="25"/>
      <c r="O91" s="55"/>
      <c r="P91" s="25"/>
      <c r="R91" s="25"/>
    </row>
    <row r="92" ht="15.75">
      <c r="L92" s="9"/>
    </row>
    <row r="93" ht="15.75">
      <c r="L93" s="9"/>
    </row>
    <row r="94" ht="15.75">
      <c r="L94" s="9"/>
    </row>
    <row r="95" ht="15.75">
      <c r="L95" s="9"/>
    </row>
    <row r="96" ht="15.75">
      <c r="L96" s="9"/>
    </row>
    <row r="97" ht="15.75">
      <c r="L97" s="9"/>
    </row>
    <row r="98" ht="15.75">
      <c r="L98" s="9"/>
    </row>
    <row r="99" ht="15.75">
      <c r="L99" s="9"/>
    </row>
    <row r="100" ht="15.75">
      <c r="L100" s="9"/>
    </row>
    <row r="101" ht="15.75">
      <c r="L101" s="9"/>
    </row>
    <row r="102" ht="15.75">
      <c r="L102" s="9"/>
    </row>
    <row r="103" ht="15.75">
      <c r="L103" s="9"/>
    </row>
    <row r="104" ht="15.75">
      <c r="L104" s="9"/>
    </row>
    <row r="105" ht="15.75">
      <c r="L105" s="9"/>
    </row>
    <row r="106" ht="15.75">
      <c r="L106" s="9"/>
    </row>
    <row r="107" ht="15.75">
      <c r="L107" s="9"/>
    </row>
    <row r="108" ht="15.75">
      <c r="L108" s="9"/>
    </row>
    <row r="109" ht="15.75">
      <c r="L109" s="9"/>
    </row>
    <row r="110" ht="15.75">
      <c r="L110" s="9"/>
    </row>
    <row r="111" ht="15.75">
      <c r="L111" s="9"/>
    </row>
    <row r="112" ht="15.75">
      <c r="L112" s="9"/>
    </row>
    <row r="113" ht="15.75">
      <c r="L113" s="9"/>
    </row>
    <row r="114" ht="15.75">
      <c r="L114" s="9"/>
    </row>
  </sheetData>
  <mergeCells count="16">
    <mergeCell ref="A1:R1"/>
    <mergeCell ref="A2:R2"/>
    <mergeCell ref="A3:R3"/>
    <mergeCell ref="A4:R4"/>
    <mergeCell ref="A6:R6"/>
    <mergeCell ref="A7:R7"/>
    <mergeCell ref="A47:R47"/>
    <mergeCell ref="A48:R48"/>
    <mergeCell ref="L9:M9"/>
    <mergeCell ref="N9:O9"/>
    <mergeCell ref="A49:R49"/>
    <mergeCell ref="L56:M56"/>
    <mergeCell ref="N56:O56"/>
    <mergeCell ref="A50:R50"/>
    <mergeCell ref="A52:R52"/>
    <mergeCell ref="A53:R53"/>
  </mergeCells>
  <printOptions/>
  <pageMargins left="0.8" right="0.8" top="1" bottom="1.35" header="0.8" footer="0.8"/>
  <pageSetup firstPageNumber="4" useFirstPageNumber="1" fitToHeight="2" horizontalDpi="600" verticalDpi="600" orientation="landscape" scale="59" r:id="rId1"/>
  <headerFooter alignWithMargins="0">
    <oddFooter xml:space="preserve">&amp;R&amp;"Courier New,Regular"&amp;12Exhibit PB-11 Defense Health Program Funding Summary
(Page &amp;P of 7)&amp;5 </oddFooter>
  </headerFooter>
  <rowBreaks count="1" manualBreakCount="1">
    <brk id="46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="75" zoomScaleNormal="75" workbookViewId="0" topLeftCell="A10">
      <selection activeCell="I36" sqref="I36"/>
    </sheetView>
  </sheetViews>
  <sheetFormatPr defaultColWidth="9.140625" defaultRowHeight="12.75"/>
  <cols>
    <col min="1" max="1" width="2.7109375" style="1" customWidth="1"/>
    <col min="2" max="2" width="5.8515625" style="1" customWidth="1"/>
    <col min="3" max="5" width="9.140625" style="1" customWidth="1"/>
    <col min="6" max="6" width="16.8515625" style="1" customWidth="1"/>
    <col min="7" max="10" width="9.140625" style="1" customWidth="1"/>
    <col min="11" max="11" width="11.00390625" style="1" customWidth="1"/>
    <col min="12" max="12" width="9.140625" style="62" customWidth="1"/>
    <col min="13" max="13" width="10.140625" style="1" customWidth="1"/>
    <col min="14" max="14" width="9.140625" style="62" customWidth="1"/>
    <col min="15" max="15" width="9.140625" style="1" customWidth="1"/>
    <col min="16" max="16" width="9.140625" style="62" customWidth="1"/>
    <col min="17" max="16384" width="9.140625" style="1" customWidth="1"/>
  </cols>
  <sheetData>
    <row r="1" spans="1:16" s="23" customFormat="1" ht="13.5">
      <c r="A1" s="96" t="s">
        <v>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s="23" customFormat="1" ht="13.5">
      <c r="A2" s="96" t="str">
        <f>'Special Interest'!A2:R2</f>
        <v>Fiscal Year 2003 Budget Estimate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13.5">
      <c r="A3" s="96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6" s="40" customFormat="1" ht="13.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s="15" customFormat="1" ht="13.5">
      <c r="A5" s="48"/>
      <c r="B5" s="50"/>
      <c r="C5" s="50"/>
      <c r="D5" s="50"/>
      <c r="E5" s="50"/>
      <c r="F5" s="50"/>
      <c r="G5" s="50"/>
      <c r="H5" s="50"/>
      <c r="I5" s="50"/>
      <c r="J5" s="50"/>
      <c r="K5" s="50"/>
      <c r="L5" s="59"/>
      <c r="M5" s="50"/>
      <c r="N5" s="63"/>
      <c r="O5" s="39"/>
      <c r="P5" s="60"/>
    </row>
    <row r="6" spans="1:16" ht="13.5">
      <c r="A6" s="96" t="s">
        <v>232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</row>
    <row r="7" spans="1:16" ht="13.5" customHeight="1">
      <c r="A7" s="97" t="s">
        <v>3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</row>
    <row r="8" spans="1:16" ht="13.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57"/>
      <c r="L8" s="16"/>
      <c r="M8" s="62"/>
      <c r="N8" s="1"/>
      <c r="P8" s="1"/>
    </row>
    <row r="9" spans="1:16" ht="13.5">
      <c r="A9" s="23"/>
      <c r="B9" s="23"/>
      <c r="C9" s="23"/>
      <c r="D9" s="23"/>
      <c r="E9" s="23"/>
      <c r="F9" s="23"/>
      <c r="G9" s="23"/>
      <c r="H9" s="23"/>
      <c r="I9" s="23"/>
      <c r="J9" s="23"/>
      <c r="K9" s="60"/>
      <c r="L9" s="23"/>
      <c r="M9" s="62"/>
      <c r="N9" s="1"/>
      <c r="P9" s="1"/>
    </row>
    <row r="10" spans="1:16" ht="13.5">
      <c r="A10" s="23"/>
      <c r="B10" s="23"/>
      <c r="C10" s="23"/>
      <c r="D10" s="23"/>
      <c r="E10" s="23"/>
      <c r="F10" s="23"/>
      <c r="G10" s="16" t="str">
        <f>'Special Interest'!I9</f>
        <v>FY 2001</v>
      </c>
      <c r="H10" s="16" t="str">
        <f>'Special Interest'!J9</f>
        <v>FY 2002</v>
      </c>
      <c r="I10" s="16" t="str">
        <f>'Special Interest'!K9</f>
        <v>FY 2003</v>
      </c>
      <c r="J10" s="97" t="s">
        <v>212</v>
      </c>
      <c r="K10" s="97"/>
      <c r="L10" s="97" t="s">
        <v>278</v>
      </c>
      <c r="M10" s="97"/>
      <c r="N10" s="1"/>
      <c r="P10" s="1"/>
    </row>
    <row r="11" spans="1:16" ht="13.5">
      <c r="A11" s="23"/>
      <c r="B11" s="23"/>
      <c r="C11" s="23"/>
      <c r="D11" s="23"/>
      <c r="E11" s="23"/>
      <c r="F11" s="23"/>
      <c r="G11" s="17" t="s">
        <v>22</v>
      </c>
      <c r="H11" s="17" t="s">
        <v>23</v>
      </c>
      <c r="I11" s="17" t="s">
        <v>23</v>
      </c>
      <c r="J11" s="17" t="s">
        <v>24</v>
      </c>
      <c r="K11" s="61" t="s">
        <v>25</v>
      </c>
      <c r="L11" s="17" t="s">
        <v>24</v>
      </c>
      <c r="M11" s="61" t="s">
        <v>25</v>
      </c>
      <c r="N11" s="1"/>
      <c r="P11" s="1"/>
    </row>
    <row r="12" spans="1:16" ht="13.5">
      <c r="A12" s="24"/>
      <c r="B12" s="23"/>
      <c r="C12" s="23"/>
      <c r="D12" s="23"/>
      <c r="E12" s="23"/>
      <c r="F12" s="23"/>
      <c r="G12" s="23"/>
      <c r="H12" s="23"/>
      <c r="I12" s="23"/>
      <c r="J12" s="15"/>
      <c r="K12" s="60"/>
      <c r="L12" s="15"/>
      <c r="M12" s="60"/>
      <c r="N12" s="1"/>
      <c r="P12" s="1"/>
    </row>
    <row r="13" spans="1:16" ht="13.5">
      <c r="A13" s="29" t="s">
        <v>107</v>
      </c>
      <c r="B13" s="30"/>
      <c r="C13" s="30" t="s">
        <v>108</v>
      </c>
      <c r="D13" s="30"/>
      <c r="E13" s="23"/>
      <c r="F13" s="23"/>
      <c r="G13" s="15"/>
      <c r="H13" s="15"/>
      <c r="I13" s="15"/>
      <c r="J13" s="15"/>
      <c r="K13" s="60"/>
      <c r="L13" s="15"/>
      <c r="M13" s="60"/>
      <c r="N13" s="1"/>
      <c r="P13" s="1"/>
    </row>
    <row r="14" spans="1:16" ht="13.5">
      <c r="A14" s="23"/>
      <c r="B14" s="23" t="s">
        <v>12</v>
      </c>
      <c r="C14" s="23"/>
      <c r="D14" s="23"/>
      <c r="E14" s="23"/>
      <c r="F14" s="23"/>
      <c r="G14" s="15">
        <v>0</v>
      </c>
      <c r="H14" s="15">
        <v>0</v>
      </c>
      <c r="I14" s="15">
        <v>0</v>
      </c>
      <c r="J14" s="15"/>
      <c r="K14" s="60"/>
      <c r="L14" s="15"/>
      <c r="M14" s="60"/>
      <c r="N14" s="1"/>
      <c r="P14" s="1"/>
    </row>
    <row r="15" spans="1:16" ht="13.5">
      <c r="A15" s="23"/>
      <c r="B15" s="23" t="s">
        <v>13</v>
      </c>
      <c r="C15" s="23"/>
      <c r="D15" s="23"/>
      <c r="E15" s="23"/>
      <c r="F15" s="23"/>
      <c r="G15" s="15">
        <v>0</v>
      </c>
      <c r="H15" s="15">
        <v>0</v>
      </c>
      <c r="I15" s="15">
        <v>250</v>
      </c>
      <c r="J15" s="15">
        <f aca="true" t="shared" si="0" ref="J15:J22">H15-G15</f>
        <v>0</v>
      </c>
      <c r="K15" s="60">
        <f aca="true" t="shared" si="1" ref="K15:K22">IF(G15=0,0,J15/G15)</f>
        <v>0</v>
      </c>
      <c r="L15" s="15">
        <f aca="true" t="shared" si="2" ref="L15:L22">I15-H15</f>
        <v>250</v>
      </c>
      <c r="M15" s="60">
        <f aca="true" t="shared" si="3" ref="M15:M22">IF(H15=0,0,L15/H15)</f>
        <v>0</v>
      </c>
      <c r="N15" s="1"/>
      <c r="P15" s="1"/>
    </row>
    <row r="16" spans="1:16" ht="13.5">
      <c r="A16" s="23"/>
      <c r="B16" s="23" t="s">
        <v>14</v>
      </c>
      <c r="C16" s="23"/>
      <c r="D16" s="23"/>
      <c r="E16" s="23"/>
      <c r="F16" s="23"/>
      <c r="G16" s="15">
        <v>7771</v>
      </c>
      <c r="H16" s="15">
        <v>895</v>
      </c>
      <c r="I16" s="15">
        <v>600</v>
      </c>
      <c r="J16" s="15">
        <f t="shared" si="0"/>
        <v>-6876</v>
      </c>
      <c r="K16" s="60">
        <f t="shared" si="1"/>
        <v>-0.8848282074379101</v>
      </c>
      <c r="L16" s="15">
        <f t="shared" si="2"/>
        <v>-295</v>
      </c>
      <c r="M16" s="60">
        <f t="shared" si="3"/>
        <v>-0.329608938547486</v>
      </c>
      <c r="N16" s="1"/>
      <c r="P16" s="1"/>
    </row>
    <row r="17" spans="1:16" ht="13.5">
      <c r="A17" s="23"/>
      <c r="B17" s="23" t="s">
        <v>15</v>
      </c>
      <c r="C17" s="23"/>
      <c r="D17" s="23"/>
      <c r="E17" s="23"/>
      <c r="F17" s="23"/>
      <c r="G17" s="15">
        <v>300</v>
      </c>
      <c r="H17" s="15">
        <v>0</v>
      </c>
      <c r="I17" s="15">
        <v>0</v>
      </c>
      <c r="J17" s="15">
        <f t="shared" si="0"/>
        <v>-300</v>
      </c>
      <c r="K17" s="60">
        <f t="shared" si="1"/>
        <v>-1</v>
      </c>
      <c r="L17" s="15">
        <f t="shared" si="2"/>
        <v>0</v>
      </c>
      <c r="M17" s="60">
        <f t="shared" si="3"/>
        <v>0</v>
      </c>
      <c r="N17" s="1"/>
      <c r="P17" s="1"/>
    </row>
    <row r="18" spans="1:16" ht="13.5">
      <c r="A18" s="23"/>
      <c r="B18" s="23" t="s">
        <v>16</v>
      </c>
      <c r="C18" s="23"/>
      <c r="D18" s="23"/>
      <c r="E18" s="23"/>
      <c r="F18" s="23"/>
      <c r="G18" s="15">
        <v>1580</v>
      </c>
      <c r="H18" s="15">
        <v>1620</v>
      </c>
      <c r="I18" s="15">
        <v>3214</v>
      </c>
      <c r="J18" s="15">
        <f t="shared" si="0"/>
        <v>40</v>
      </c>
      <c r="K18" s="60">
        <f t="shared" si="1"/>
        <v>0.02531645569620253</v>
      </c>
      <c r="L18" s="15">
        <f t="shared" si="2"/>
        <v>1594</v>
      </c>
      <c r="M18" s="60">
        <f t="shared" si="3"/>
        <v>0.9839506172839506</v>
      </c>
      <c r="N18" s="1"/>
      <c r="P18" s="1"/>
    </row>
    <row r="19" spans="1:16" ht="13.5">
      <c r="A19" s="23"/>
      <c r="B19" s="23" t="s">
        <v>17</v>
      </c>
      <c r="C19" s="23"/>
      <c r="D19" s="23"/>
      <c r="E19" s="23"/>
      <c r="F19" s="23"/>
      <c r="G19" s="15">
        <v>550</v>
      </c>
      <c r="H19" s="15">
        <v>399</v>
      </c>
      <c r="I19" s="15">
        <v>200</v>
      </c>
      <c r="J19" s="15">
        <f t="shared" si="0"/>
        <v>-151</v>
      </c>
      <c r="K19" s="60">
        <f t="shared" si="1"/>
        <v>-0.27454545454545454</v>
      </c>
      <c r="L19" s="15">
        <f t="shared" si="2"/>
        <v>-199</v>
      </c>
      <c r="M19" s="60">
        <f t="shared" si="3"/>
        <v>-0.49874686716791977</v>
      </c>
      <c r="N19" s="1"/>
      <c r="P19" s="1"/>
    </row>
    <row r="20" spans="1:16" ht="13.5">
      <c r="A20" s="23"/>
      <c r="B20" s="23" t="s">
        <v>18</v>
      </c>
      <c r="C20" s="23"/>
      <c r="D20" s="23"/>
      <c r="E20" s="23"/>
      <c r="F20" s="23"/>
      <c r="G20" s="15">
        <v>500</v>
      </c>
      <c r="H20" s="15">
        <v>399</v>
      </c>
      <c r="I20" s="15">
        <v>137</v>
      </c>
      <c r="J20" s="15">
        <f t="shared" si="0"/>
        <v>-101</v>
      </c>
      <c r="K20" s="60">
        <f t="shared" si="1"/>
        <v>-0.202</v>
      </c>
      <c r="L20" s="15">
        <f t="shared" si="2"/>
        <v>-262</v>
      </c>
      <c r="M20" s="60">
        <f t="shared" si="3"/>
        <v>-0.656641604010025</v>
      </c>
      <c r="N20" s="1"/>
      <c r="P20" s="1"/>
    </row>
    <row r="21" spans="1:16" ht="13.5">
      <c r="A21" s="23"/>
      <c r="B21" s="23" t="s">
        <v>19</v>
      </c>
      <c r="C21" s="23"/>
      <c r="D21" s="23"/>
      <c r="E21" s="23"/>
      <c r="F21" s="23"/>
      <c r="G21" s="15">
        <v>7100</v>
      </c>
      <c r="H21" s="15">
        <v>3737</v>
      </c>
      <c r="I21" s="15">
        <v>2895</v>
      </c>
      <c r="J21" s="15">
        <f t="shared" si="0"/>
        <v>-3363</v>
      </c>
      <c r="K21" s="60">
        <f t="shared" si="1"/>
        <v>-0.4736619718309859</v>
      </c>
      <c r="L21" s="15">
        <f t="shared" si="2"/>
        <v>-842</v>
      </c>
      <c r="M21" s="60">
        <f t="shared" si="3"/>
        <v>-0.22531442333422533</v>
      </c>
      <c r="N21" s="1"/>
      <c r="P21" s="1"/>
    </row>
    <row r="22" spans="1:16" ht="13.5">
      <c r="A22" s="23"/>
      <c r="B22" s="23"/>
      <c r="C22" s="23" t="s">
        <v>112</v>
      </c>
      <c r="D22" s="23"/>
      <c r="E22" s="23"/>
      <c r="F22" s="23"/>
      <c r="G22" s="15">
        <v>17801</v>
      </c>
      <c r="H22" s="15">
        <v>7050</v>
      </c>
      <c r="I22" s="15">
        <v>7296</v>
      </c>
      <c r="J22" s="15">
        <f t="shared" si="0"/>
        <v>-10751</v>
      </c>
      <c r="K22" s="60">
        <f t="shared" si="1"/>
        <v>-0.60395483399809</v>
      </c>
      <c r="L22" s="15">
        <f t="shared" si="2"/>
        <v>246</v>
      </c>
      <c r="M22" s="60">
        <f t="shared" si="3"/>
        <v>0.03489361702127659</v>
      </c>
      <c r="N22" s="1"/>
      <c r="P22" s="1"/>
    </row>
    <row r="23" spans="1:16" ht="13.5">
      <c r="A23" s="23"/>
      <c r="B23" s="23"/>
      <c r="C23" s="23"/>
      <c r="D23" s="23"/>
      <c r="E23" s="23"/>
      <c r="F23" s="23"/>
      <c r="G23" s="15"/>
      <c r="H23" s="15"/>
      <c r="I23" s="15"/>
      <c r="J23" s="21"/>
      <c r="K23" s="60"/>
      <c r="L23" s="21"/>
      <c r="M23" s="62"/>
      <c r="N23" s="1"/>
      <c r="P23" s="1"/>
    </row>
    <row r="24" spans="1:16" ht="13.5">
      <c r="A24" s="23"/>
      <c r="B24" s="23"/>
      <c r="C24" s="23"/>
      <c r="D24" s="23"/>
      <c r="E24" s="23"/>
      <c r="F24" s="23"/>
      <c r="G24" s="15"/>
      <c r="H24" s="15"/>
      <c r="I24" s="15"/>
      <c r="J24" s="21"/>
      <c r="K24" s="60"/>
      <c r="L24" s="23"/>
      <c r="M24" s="62"/>
      <c r="N24" s="1"/>
      <c r="P24" s="1"/>
    </row>
    <row r="25" spans="1:16" ht="13.5">
      <c r="A25" s="29" t="s">
        <v>109</v>
      </c>
      <c r="B25" s="30"/>
      <c r="C25" s="30" t="s">
        <v>110</v>
      </c>
      <c r="D25" s="30"/>
      <c r="E25" s="30"/>
      <c r="F25" s="23"/>
      <c r="G25" s="15"/>
      <c r="H25" s="15"/>
      <c r="I25" s="15"/>
      <c r="J25" s="21"/>
      <c r="K25" s="60"/>
      <c r="L25" s="23"/>
      <c r="M25" s="62"/>
      <c r="N25" s="1"/>
      <c r="P25" s="1"/>
    </row>
    <row r="26" spans="1:16" ht="13.5">
      <c r="A26" s="23"/>
      <c r="B26" s="23" t="s">
        <v>12</v>
      </c>
      <c r="C26" s="23"/>
      <c r="D26" s="23"/>
      <c r="E26" s="23"/>
      <c r="F26" s="23"/>
      <c r="G26" s="15">
        <v>753</v>
      </c>
      <c r="H26" s="15">
        <v>753</v>
      </c>
      <c r="I26" s="15">
        <v>753</v>
      </c>
      <c r="J26" s="15">
        <f aca="true" t="shared" si="4" ref="J26:J34">H26-G26</f>
        <v>0</v>
      </c>
      <c r="K26" s="60">
        <f aca="true" t="shared" si="5" ref="K26:K34">IF(G26=0,0,J26/G26)</f>
        <v>0</v>
      </c>
      <c r="L26" s="15">
        <f aca="true" t="shared" si="6" ref="L26:L34">I26-H26</f>
        <v>0</v>
      </c>
      <c r="M26" s="60">
        <f aca="true" t="shared" si="7" ref="M26:M34">IF(H26=0,0,L26/H26)</f>
        <v>0</v>
      </c>
      <c r="N26" s="1"/>
      <c r="P26" s="1"/>
    </row>
    <row r="27" spans="1:16" ht="13.5">
      <c r="A27" s="23"/>
      <c r="B27" s="23" t="s">
        <v>13</v>
      </c>
      <c r="C27" s="23"/>
      <c r="D27" s="23"/>
      <c r="E27" s="23"/>
      <c r="F27" s="23"/>
      <c r="G27" s="15">
        <v>10879</v>
      </c>
      <c r="H27" s="15">
        <v>3647</v>
      </c>
      <c r="I27" s="15">
        <v>1742</v>
      </c>
      <c r="J27" s="15">
        <f t="shared" si="4"/>
        <v>-7232</v>
      </c>
      <c r="K27" s="60">
        <f t="shared" si="5"/>
        <v>-0.6647669822593988</v>
      </c>
      <c r="L27" s="15">
        <f t="shared" si="6"/>
        <v>-1905</v>
      </c>
      <c r="M27" s="60">
        <f t="shared" si="7"/>
        <v>-0.5223471346312037</v>
      </c>
      <c r="N27" s="1"/>
      <c r="P27" s="1"/>
    </row>
    <row r="28" spans="1:16" ht="13.5">
      <c r="A28" s="23"/>
      <c r="B28" s="23" t="s">
        <v>14</v>
      </c>
      <c r="C28" s="23"/>
      <c r="D28" s="23"/>
      <c r="E28" s="23"/>
      <c r="F28" s="23"/>
      <c r="G28" s="15">
        <v>128397</v>
      </c>
      <c r="H28" s="15">
        <v>144063</v>
      </c>
      <c r="I28" s="15">
        <v>150578</v>
      </c>
      <c r="J28" s="15">
        <f t="shared" si="4"/>
        <v>15666</v>
      </c>
      <c r="K28" s="60">
        <f t="shared" si="5"/>
        <v>0.12201219654664829</v>
      </c>
      <c r="L28" s="15">
        <f t="shared" si="6"/>
        <v>6515</v>
      </c>
      <c r="M28" s="60">
        <f t="shared" si="7"/>
        <v>0.045223270374766596</v>
      </c>
      <c r="N28" s="1"/>
      <c r="P28" s="1"/>
    </row>
    <row r="29" spans="1:16" ht="13.5">
      <c r="A29" s="23"/>
      <c r="B29" s="23" t="s">
        <v>15</v>
      </c>
      <c r="C29" s="23"/>
      <c r="D29" s="23"/>
      <c r="E29" s="23"/>
      <c r="F29" s="23"/>
      <c r="G29" s="15">
        <v>9300</v>
      </c>
      <c r="H29" s="15">
        <v>4779</v>
      </c>
      <c r="I29" s="15">
        <v>4946</v>
      </c>
      <c r="J29" s="15">
        <f t="shared" si="4"/>
        <v>-4521</v>
      </c>
      <c r="K29" s="60">
        <f t="shared" si="5"/>
        <v>-0.48612903225806453</v>
      </c>
      <c r="L29" s="15">
        <f t="shared" si="6"/>
        <v>167</v>
      </c>
      <c r="M29" s="60">
        <f t="shared" si="7"/>
        <v>0.03494454906884285</v>
      </c>
      <c r="N29" s="1"/>
      <c r="P29" s="1"/>
    </row>
    <row r="30" spans="1:16" ht="13.5">
      <c r="A30" s="23"/>
      <c r="B30" s="23" t="s">
        <v>16</v>
      </c>
      <c r="C30" s="23"/>
      <c r="D30" s="23"/>
      <c r="E30" s="23"/>
      <c r="F30" s="23"/>
      <c r="G30" s="15">
        <v>18892</v>
      </c>
      <c r="H30" s="15">
        <v>17971</v>
      </c>
      <c r="I30" s="15">
        <v>25119</v>
      </c>
      <c r="J30" s="15">
        <f t="shared" si="4"/>
        <v>-921</v>
      </c>
      <c r="K30" s="60">
        <f t="shared" si="5"/>
        <v>-0.04875079398687275</v>
      </c>
      <c r="L30" s="15">
        <f t="shared" si="6"/>
        <v>7148</v>
      </c>
      <c r="M30" s="60">
        <f t="shared" si="7"/>
        <v>0.39775193367091427</v>
      </c>
      <c r="N30" s="1"/>
      <c r="P30" s="1"/>
    </row>
    <row r="31" spans="1:16" ht="13.5">
      <c r="A31" s="23"/>
      <c r="B31" s="23" t="s">
        <v>17</v>
      </c>
      <c r="C31" s="23"/>
      <c r="D31" s="23"/>
      <c r="E31" s="23"/>
      <c r="F31" s="23"/>
      <c r="G31" s="15">
        <v>8930</v>
      </c>
      <c r="H31" s="15">
        <v>8752</v>
      </c>
      <c r="I31" s="15">
        <v>9205</v>
      </c>
      <c r="J31" s="15">
        <f t="shared" si="4"/>
        <v>-178</v>
      </c>
      <c r="K31" s="60">
        <f t="shared" si="5"/>
        <v>-0.019932810750279955</v>
      </c>
      <c r="L31" s="15">
        <f t="shared" si="6"/>
        <v>453</v>
      </c>
      <c r="M31" s="60">
        <f t="shared" si="7"/>
        <v>0.051759597806215724</v>
      </c>
      <c r="N31" s="1"/>
      <c r="P31" s="1"/>
    </row>
    <row r="32" spans="1:16" ht="13.5">
      <c r="A32" s="23"/>
      <c r="B32" s="23" t="s">
        <v>18</v>
      </c>
      <c r="C32" s="23"/>
      <c r="D32" s="23"/>
      <c r="E32" s="23"/>
      <c r="F32" s="23"/>
      <c r="G32" s="15">
        <v>6775</v>
      </c>
      <c r="H32" s="15">
        <v>6026</v>
      </c>
      <c r="I32" s="15">
        <v>6459</v>
      </c>
      <c r="J32" s="15">
        <f t="shared" si="4"/>
        <v>-749</v>
      </c>
      <c r="K32" s="60">
        <f t="shared" si="5"/>
        <v>-0.11055350553505536</v>
      </c>
      <c r="L32" s="15">
        <f t="shared" si="6"/>
        <v>433</v>
      </c>
      <c r="M32" s="60">
        <f t="shared" si="7"/>
        <v>0.0718552937271822</v>
      </c>
      <c r="N32" s="1"/>
      <c r="P32" s="1"/>
    </row>
    <row r="33" spans="1:16" ht="13.5">
      <c r="A33" s="23"/>
      <c r="B33" s="23" t="s">
        <v>19</v>
      </c>
      <c r="C33" s="23"/>
      <c r="D33" s="23"/>
      <c r="E33" s="23"/>
      <c r="F33" s="23"/>
      <c r="G33" s="15">
        <v>88658</v>
      </c>
      <c r="H33" s="15">
        <v>74874</v>
      </c>
      <c r="I33" s="15">
        <v>72645</v>
      </c>
      <c r="J33" s="15">
        <f t="shared" si="4"/>
        <v>-13784</v>
      </c>
      <c r="K33" s="60">
        <f t="shared" si="5"/>
        <v>-0.15547384330799252</v>
      </c>
      <c r="L33" s="15">
        <f t="shared" si="6"/>
        <v>-2229</v>
      </c>
      <c r="M33" s="60">
        <f t="shared" si="7"/>
        <v>-0.02977001362288645</v>
      </c>
      <c r="N33" s="1"/>
      <c r="P33" s="1"/>
    </row>
    <row r="34" spans="1:16" ht="13.5">
      <c r="A34" s="23"/>
      <c r="B34" s="23"/>
      <c r="C34" s="23" t="s">
        <v>113</v>
      </c>
      <c r="D34" s="23"/>
      <c r="E34" s="23"/>
      <c r="F34" s="23"/>
      <c r="G34" s="15">
        <v>272584</v>
      </c>
      <c r="H34" s="15">
        <v>260865</v>
      </c>
      <c r="I34" s="15">
        <v>271447</v>
      </c>
      <c r="J34" s="15">
        <f t="shared" si="4"/>
        <v>-11719</v>
      </c>
      <c r="K34" s="60">
        <f t="shared" si="5"/>
        <v>-0.04299225192968039</v>
      </c>
      <c r="L34" s="15">
        <f t="shared" si="6"/>
        <v>10582</v>
      </c>
      <c r="M34" s="60">
        <f t="shared" si="7"/>
        <v>0.040565043221589714</v>
      </c>
      <c r="N34" s="1"/>
      <c r="P34" s="1"/>
    </row>
    <row r="35" spans="1:16" ht="13.5">
      <c r="A35" s="23"/>
      <c r="B35" s="23"/>
      <c r="C35" s="23"/>
      <c r="D35" s="23"/>
      <c r="E35" s="23"/>
      <c r="F35" s="23"/>
      <c r="G35" s="15"/>
      <c r="H35" s="15"/>
      <c r="I35" s="15"/>
      <c r="J35" s="21"/>
      <c r="K35" s="60"/>
      <c r="L35" s="21"/>
      <c r="M35" s="62"/>
      <c r="N35" s="1"/>
      <c r="P35" s="1"/>
    </row>
    <row r="36" spans="1:16" ht="13.5">
      <c r="A36" s="23"/>
      <c r="B36" s="24" t="s">
        <v>111</v>
      </c>
      <c r="C36" s="24"/>
      <c r="D36" s="24"/>
      <c r="E36" s="23"/>
      <c r="F36" s="23"/>
      <c r="G36" s="15">
        <v>290385</v>
      </c>
      <c r="H36" s="15">
        <v>267915</v>
      </c>
      <c r="I36" s="15">
        <v>278743</v>
      </c>
      <c r="J36" s="15">
        <f>H36-G36</f>
        <v>-22470</v>
      </c>
      <c r="K36" s="60">
        <f>IF(G36=0,0,J36/G36)</f>
        <v>-0.07738002996022522</v>
      </c>
      <c r="L36" s="15">
        <f>I36-H36</f>
        <v>10828</v>
      </c>
      <c r="M36" s="60">
        <f>IF(H36=0,0,L36/H36)</f>
        <v>0.040415803519773065</v>
      </c>
      <c r="N36" s="1"/>
      <c r="P36" s="1"/>
    </row>
    <row r="37" spans="11:16" ht="12.75">
      <c r="K37" s="62"/>
      <c r="L37" s="1"/>
      <c r="M37" s="62"/>
      <c r="N37" s="1"/>
      <c r="P37" s="1"/>
    </row>
    <row r="38" spans="11:16" ht="12.75">
      <c r="K38" s="62"/>
      <c r="L38" s="1"/>
      <c r="M38" s="62"/>
      <c r="N38" s="1"/>
      <c r="P38" s="1"/>
    </row>
    <row r="39" spans="11:16" ht="12.75">
      <c r="K39" s="62"/>
      <c r="L39" s="1"/>
      <c r="M39" s="62"/>
      <c r="N39" s="1"/>
      <c r="P39" s="1"/>
    </row>
  </sheetData>
  <mergeCells count="8">
    <mergeCell ref="A1:P1"/>
    <mergeCell ref="A2:P2"/>
    <mergeCell ref="A3:P3"/>
    <mergeCell ref="A4:P4"/>
    <mergeCell ref="A6:P6"/>
    <mergeCell ref="A7:P7"/>
    <mergeCell ref="J10:K10"/>
    <mergeCell ref="L10:M10"/>
  </mergeCells>
  <printOptions/>
  <pageMargins left="0.8" right="0.8" top="1" bottom="1.35" header="0.8" footer="0.8"/>
  <pageSetup firstPageNumber="6" useFirstPageNumber="1" fitToHeight="1" fitToWidth="1" horizontalDpi="600" verticalDpi="600" orientation="landscape" scale="83" r:id="rId1"/>
  <headerFooter alignWithMargins="0">
    <oddFooter xml:space="preserve">&amp;R&amp;"Courier New,Regular"&amp;12Exhibit PB-11 Defense Health Program Funding Summary
(Page &amp;P of 7)&amp;5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="75" zoomScaleNormal="75" workbookViewId="0" topLeftCell="A1">
      <selection activeCell="G20" sqref="G20"/>
    </sheetView>
  </sheetViews>
  <sheetFormatPr defaultColWidth="9.140625" defaultRowHeight="12.75"/>
  <cols>
    <col min="1" max="1" width="11.28125" style="1" customWidth="1"/>
    <col min="2" max="2" width="2.140625" style="1" customWidth="1"/>
    <col min="3" max="3" width="65.7109375" style="1" customWidth="1"/>
    <col min="4" max="4" width="2.140625" style="1" customWidth="1"/>
    <col min="5" max="5" width="2.421875" style="1" customWidth="1"/>
    <col min="6" max="6" width="2.7109375" style="1" customWidth="1"/>
    <col min="7" max="9" width="11.28125" style="1" customWidth="1"/>
    <col min="10" max="10" width="12.7109375" style="1" customWidth="1"/>
    <col min="11" max="11" width="11.28125" style="1" customWidth="1"/>
    <col min="12" max="12" width="12.7109375" style="62" bestFit="1" customWidth="1"/>
    <col min="13" max="13" width="11.28125" style="1" customWidth="1"/>
    <col min="14" max="14" width="11.28125" style="62" customWidth="1"/>
    <col min="15" max="15" width="11.28125" style="1" customWidth="1"/>
    <col min="16" max="16" width="11.28125" style="62" customWidth="1"/>
    <col min="17" max="16384" width="9.140625" style="1" customWidth="1"/>
  </cols>
  <sheetData>
    <row r="1" spans="1:16" s="41" customFormat="1" ht="16.5">
      <c r="A1" s="98" t="s">
        <v>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s="41" customFormat="1" ht="16.5">
      <c r="A2" s="98" t="str">
        <f>Procurement!A2</f>
        <v>Fiscal Year 2003 Budget Estimate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s="51" customFormat="1" ht="16.5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s="50" customFormat="1" ht="16.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</row>
    <row r="5" spans="1:16" s="50" customFormat="1" ht="16.5">
      <c r="A5" s="49"/>
      <c r="B5" s="31"/>
      <c r="C5" s="31"/>
      <c r="D5" s="31"/>
      <c r="E5" s="31"/>
      <c r="F5" s="31"/>
      <c r="G5" s="31"/>
      <c r="H5" s="31"/>
      <c r="I5" s="31"/>
      <c r="J5" s="31"/>
      <c r="K5" s="31"/>
      <c r="L5" s="76"/>
      <c r="M5" s="31"/>
      <c r="N5" s="76"/>
      <c r="O5" s="31"/>
      <c r="P5" s="76"/>
    </row>
    <row r="6" spans="1:16" s="51" customFormat="1" ht="16.5">
      <c r="A6" s="98" t="s">
        <v>233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</row>
    <row r="7" spans="1:16" s="51" customFormat="1" ht="15.75">
      <c r="A7" s="99" t="s">
        <v>3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</row>
    <row r="8" spans="1:16" ht="15.75">
      <c r="A8" s="10"/>
      <c r="B8" s="10"/>
      <c r="C8" s="10"/>
      <c r="D8" s="10"/>
      <c r="E8" s="10"/>
      <c r="F8" s="10"/>
      <c r="G8" s="10"/>
      <c r="H8" s="10"/>
      <c r="I8" s="10"/>
      <c r="J8" s="10"/>
      <c r="K8" s="77"/>
      <c r="L8" s="10"/>
      <c r="M8" s="78"/>
      <c r="N8" s="79"/>
      <c r="O8" s="79"/>
      <c r="P8" s="79"/>
    </row>
    <row r="9" spans="1:16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80"/>
      <c r="L9" s="25"/>
      <c r="M9" s="78"/>
      <c r="N9" s="79"/>
      <c r="O9" s="79"/>
      <c r="P9" s="79"/>
    </row>
    <row r="10" spans="1:16" ht="15.75">
      <c r="A10" s="25"/>
      <c r="B10" s="25"/>
      <c r="C10" s="25"/>
      <c r="D10" s="25"/>
      <c r="E10" s="25"/>
      <c r="F10" s="25"/>
      <c r="G10" s="10" t="str">
        <f>Procurement!G10</f>
        <v>FY 2001</v>
      </c>
      <c r="H10" s="10" t="str">
        <f>Procurement!H10</f>
        <v>FY 2002</v>
      </c>
      <c r="I10" s="10" t="str">
        <f>Procurement!I10</f>
        <v>FY 2003</v>
      </c>
      <c r="J10" s="99" t="str">
        <f>Procurement!J10</f>
        <v>FY01-02 Change</v>
      </c>
      <c r="K10" s="99"/>
      <c r="L10" s="99" t="str">
        <f>Procurement!L10</f>
        <v>FY02-03 Change</v>
      </c>
      <c r="M10" s="99"/>
      <c r="N10" s="79"/>
      <c r="O10" s="79"/>
      <c r="P10" s="79"/>
    </row>
    <row r="11" spans="1:16" ht="15.75">
      <c r="A11" s="25"/>
      <c r="B11" s="25"/>
      <c r="C11" s="25"/>
      <c r="D11" s="25"/>
      <c r="E11" s="25"/>
      <c r="F11" s="25"/>
      <c r="G11" s="11" t="s">
        <v>22</v>
      </c>
      <c r="H11" s="11" t="s">
        <v>23</v>
      </c>
      <c r="I11" s="11" t="s">
        <v>23</v>
      </c>
      <c r="J11" s="11" t="s">
        <v>24</v>
      </c>
      <c r="K11" s="81" t="s">
        <v>25</v>
      </c>
      <c r="L11" s="11" t="s">
        <v>24</v>
      </c>
      <c r="M11" s="81" t="s">
        <v>25</v>
      </c>
      <c r="N11" s="79"/>
      <c r="O11" s="79"/>
      <c r="P11" s="79"/>
    </row>
    <row r="12" spans="1:16" ht="16.5">
      <c r="A12" s="26"/>
      <c r="B12" s="25"/>
      <c r="C12" s="25"/>
      <c r="D12" s="25"/>
      <c r="E12" s="25"/>
      <c r="F12" s="25"/>
      <c r="G12" s="25"/>
      <c r="H12" s="25"/>
      <c r="I12" s="25"/>
      <c r="J12" s="9"/>
      <c r="K12" s="80"/>
      <c r="L12" s="9"/>
      <c r="M12" s="80"/>
      <c r="N12" s="79"/>
      <c r="O12" s="79"/>
      <c r="P12" s="79"/>
    </row>
    <row r="13" spans="1:16" ht="16.5">
      <c r="A13" s="82"/>
      <c r="B13" s="28"/>
      <c r="C13" s="28"/>
      <c r="D13" s="28"/>
      <c r="E13" s="25"/>
      <c r="F13" s="25"/>
      <c r="G13" s="9"/>
      <c r="H13" s="9"/>
      <c r="I13" s="9"/>
      <c r="J13" s="9"/>
      <c r="K13" s="80"/>
      <c r="L13" s="9"/>
      <c r="M13" s="80"/>
      <c r="N13" s="79"/>
      <c r="O13" s="79"/>
      <c r="P13" s="79"/>
    </row>
    <row r="14" spans="1:16" ht="15.75">
      <c r="A14" s="44" t="s">
        <v>234</v>
      </c>
      <c r="B14" s="25" t="s">
        <v>235</v>
      </c>
      <c r="C14" s="79"/>
      <c r="D14" s="25"/>
      <c r="E14" s="25"/>
      <c r="F14" s="25"/>
      <c r="G14" s="9">
        <v>338069</v>
      </c>
      <c r="H14" s="9">
        <v>388534</v>
      </c>
      <c r="I14" s="9">
        <v>0</v>
      </c>
      <c r="J14" s="9">
        <f>H14-G14</f>
        <v>50465</v>
      </c>
      <c r="K14" s="80">
        <f>IF(G14=0,0,J14/G14)</f>
        <v>0.14927426057994078</v>
      </c>
      <c r="L14" s="9">
        <f>I14-H14</f>
        <v>-388534</v>
      </c>
      <c r="M14" s="80">
        <f>IF(H14=0,0,L14/H14)</f>
        <v>-1</v>
      </c>
      <c r="N14" s="79"/>
      <c r="O14" s="79"/>
      <c r="P14" s="79"/>
    </row>
    <row r="15" spans="1:16" ht="15.75">
      <c r="A15" s="25"/>
      <c r="B15" s="25"/>
      <c r="C15" s="79"/>
      <c r="D15" s="25"/>
      <c r="E15" s="25"/>
      <c r="F15" s="25"/>
      <c r="G15" s="9"/>
      <c r="H15" s="9"/>
      <c r="I15" s="9"/>
      <c r="J15" s="9"/>
      <c r="K15" s="80"/>
      <c r="L15" s="9"/>
      <c r="M15" s="80"/>
      <c r="N15" s="79"/>
      <c r="O15" s="79"/>
      <c r="P15" s="79"/>
    </row>
    <row r="16" spans="1:16" ht="15.75">
      <c r="A16" s="44" t="s">
        <v>236</v>
      </c>
      <c r="B16" s="25" t="s">
        <v>239</v>
      </c>
      <c r="C16" s="79"/>
      <c r="D16" s="25"/>
      <c r="E16" s="25"/>
      <c r="F16" s="25"/>
      <c r="G16" s="9">
        <v>10785</v>
      </c>
      <c r="H16" s="9">
        <v>11599</v>
      </c>
      <c r="I16" s="9">
        <v>0</v>
      </c>
      <c r="J16" s="9">
        <f>H16-G16</f>
        <v>814</v>
      </c>
      <c r="K16" s="80">
        <f>IF(G16=0,0,J16/G16)</f>
        <v>0.07547519703291608</v>
      </c>
      <c r="L16" s="9">
        <f>I16-H16</f>
        <v>-11599</v>
      </c>
      <c r="M16" s="80">
        <f>IF(H16=0,0,L16/H16)</f>
        <v>-1</v>
      </c>
      <c r="N16" s="79"/>
      <c r="O16" s="79"/>
      <c r="P16" s="79"/>
    </row>
    <row r="17" spans="1:16" ht="15.75">
      <c r="A17" s="25"/>
      <c r="B17" s="25"/>
      <c r="C17" s="79"/>
      <c r="D17" s="25"/>
      <c r="E17" s="25"/>
      <c r="F17" s="25"/>
      <c r="G17" s="9"/>
      <c r="H17" s="9"/>
      <c r="I17" s="9"/>
      <c r="J17" s="9"/>
      <c r="K17" s="80"/>
      <c r="L17" s="9"/>
      <c r="M17" s="80"/>
      <c r="N17" s="79"/>
      <c r="O17" s="79"/>
      <c r="P17" s="79"/>
    </row>
    <row r="18" spans="1:16" ht="15.75">
      <c r="A18" s="44" t="s">
        <v>237</v>
      </c>
      <c r="B18" s="25" t="s">
        <v>238</v>
      </c>
      <c r="C18" s="79"/>
      <c r="D18" s="25"/>
      <c r="E18" s="25"/>
      <c r="F18" s="25"/>
      <c r="G18" s="9">
        <v>82887</v>
      </c>
      <c r="H18" s="9">
        <v>63671</v>
      </c>
      <c r="I18" s="9">
        <v>67214</v>
      </c>
      <c r="J18" s="9">
        <f>H18-G18</f>
        <v>-19216</v>
      </c>
      <c r="K18" s="80">
        <f>IF(G18=0,0,J18/G18)</f>
        <v>-0.2318337013041852</v>
      </c>
      <c r="L18" s="9">
        <f>I18-H18</f>
        <v>3543</v>
      </c>
      <c r="M18" s="80">
        <f>IF(H18=0,0,L18/H18)</f>
        <v>0.0556454272745834</v>
      </c>
      <c r="N18" s="79"/>
      <c r="O18" s="79"/>
      <c r="P18" s="79"/>
    </row>
    <row r="19" spans="1:16" ht="15.75">
      <c r="A19" s="25"/>
      <c r="B19" s="25"/>
      <c r="C19" s="25"/>
      <c r="D19" s="25"/>
      <c r="E19" s="25"/>
      <c r="F19" s="25"/>
      <c r="G19" s="9"/>
      <c r="H19" s="9"/>
      <c r="I19" s="9"/>
      <c r="J19" s="9"/>
      <c r="K19" s="80"/>
      <c r="L19" s="9"/>
      <c r="M19" s="80"/>
      <c r="N19" s="79"/>
      <c r="O19" s="79"/>
      <c r="P19" s="79"/>
    </row>
    <row r="20" spans="1:16" ht="15.75">
      <c r="A20" s="25"/>
      <c r="B20" s="25" t="s">
        <v>240</v>
      </c>
      <c r="C20" s="25"/>
      <c r="D20" s="25"/>
      <c r="E20" s="25"/>
      <c r="F20" s="25"/>
      <c r="G20" s="9">
        <f>+G18+G16+G14</f>
        <v>431741</v>
      </c>
      <c r="H20" s="9">
        <f>+H18+H16+H14</f>
        <v>463804</v>
      </c>
      <c r="I20" s="9">
        <f>+I18+I16+I14</f>
        <v>67214</v>
      </c>
      <c r="J20" s="9">
        <f>H20-G20</f>
        <v>32063</v>
      </c>
      <c r="K20" s="80">
        <f>IF(G20=0,0,J20/G20)</f>
        <v>0.07426443168473691</v>
      </c>
      <c r="L20" s="9">
        <f>I20-H20</f>
        <v>-396590</v>
      </c>
      <c r="M20" s="80">
        <f>IF(H20=0,0,L20/H20)</f>
        <v>-0.8550810256056438</v>
      </c>
      <c r="N20" s="79"/>
      <c r="O20" s="79"/>
      <c r="P20" s="79"/>
    </row>
    <row r="21" spans="1:16" ht="13.5">
      <c r="A21" s="23"/>
      <c r="B21" s="23"/>
      <c r="C21" s="23"/>
      <c r="D21" s="23"/>
      <c r="E21" s="23"/>
      <c r="F21" s="23"/>
      <c r="G21" s="20"/>
      <c r="H21" s="20"/>
      <c r="I21" s="20"/>
      <c r="J21" s="15"/>
      <c r="K21" s="60"/>
      <c r="L21" s="15"/>
      <c r="M21" s="60"/>
      <c r="N21" s="1"/>
      <c r="P21" s="1"/>
    </row>
    <row r="22" spans="1:16" ht="13.5">
      <c r="A22" s="23"/>
      <c r="B22" s="23"/>
      <c r="C22" s="23"/>
      <c r="D22" s="23"/>
      <c r="E22" s="23"/>
      <c r="F22" s="23"/>
      <c r="G22" s="15"/>
      <c r="H22" s="15"/>
      <c r="I22" s="15"/>
      <c r="J22" s="15"/>
      <c r="K22" s="60"/>
      <c r="L22" s="15"/>
      <c r="M22" s="60"/>
      <c r="N22" s="1"/>
      <c r="P22" s="1"/>
    </row>
    <row r="23" spans="1:16" ht="13.5">
      <c r="A23" s="23"/>
      <c r="B23" s="23"/>
      <c r="C23" s="23"/>
      <c r="D23" s="23"/>
      <c r="E23" s="23"/>
      <c r="F23" s="23"/>
      <c r="G23" s="15"/>
      <c r="H23" s="15"/>
      <c r="I23" s="15"/>
      <c r="J23" s="21"/>
      <c r="K23" s="60"/>
      <c r="L23" s="21"/>
      <c r="M23" s="62"/>
      <c r="N23" s="1"/>
      <c r="P23" s="1"/>
    </row>
    <row r="24" spans="1:16" ht="13.5">
      <c r="A24" s="23"/>
      <c r="B24" s="23"/>
      <c r="C24" s="23"/>
      <c r="D24" s="23"/>
      <c r="E24" s="23"/>
      <c r="F24" s="23"/>
      <c r="G24" s="15"/>
      <c r="H24" s="15"/>
      <c r="I24" s="15"/>
      <c r="J24" s="21"/>
      <c r="K24" s="60"/>
      <c r="L24" s="23"/>
      <c r="M24" s="62"/>
      <c r="N24" s="1"/>
      <c r="P24" s="1"/>
    </row>
    <row r="25" spans="1:16" ht="13.5">
      <c r="A25" s="29"/>
      <c r="B25" s="30"/>
      <c r="C25" s="30"/>
      <c r="D25" s="30"/>
      <c r="E25" s="30"/>
      <c r="F25" s="23"/>
      <c r="G25" s="15"/>
      <c r="H25" s="15"/>
      <c r="I25" s="15"/>
      <c r="J25" s="21"/>
      <c r="K25" s="60"/>
      <c r="L25" s="23"/>
      <c r="M25" s="62"/>
      <c r="N25" s="1"/>
      <c r="P25" s="1"/>
    </row>
    <row r="26" spans="1:16" ht="13.5">
      <c r="A26" s="23"/>
      <c r="B26" s="23"/>
      <c r="C26" s="23"/>
      <c r="D26" s="23"/>
      <c r="E26" s="23"/>
      <c r="F26" s="23"/>
      <c r="G26" s="15"/>
      <c r="H26" s="15"/>
      <c r="I26" s="15"/>
      <c r="J26" s="15"/>
      <c r="K26" s="60"/>
      <c r="L26" s="15"/>
      <c r="M26" s="60"/>
      <c r="N26" s="15"/>
      <c r="O26" s="60"/>
      <c r="P26" s="1"/>
    </row>
    <row r="27" spans="1:16" ht="13.5">
      <c r="A27" s="23"/>
      <c r="B27" s="23"/>
      <c r="C27" s="23"/>
      <c r="D27" s="23"/>
      <c r="E27" s="23"/>
      <c r="F27" s="23"/>
      <c r="G27" s="15"/>
      <c r="H27" s="15"/>
      <c r="I27" s="15"/>
      <c r="J27" s="15"/>
      <c r="K27" s="60"/>
      <c r="L27" s="15"/>
      <c r="M27" s="60"/>
      <c r="N27" s="15"/>
      <c r="O27" s="60"/>
      <c r="P27" s="1"/>
    </row>
    <row r="28" spans="1:16" ht="13.5">
      <c r="A28" s="23"/>
      <c r="B28" s="23"/>
      <c r="C28" s="23"/>
      <c r="D28" s="23"/>
      <c r="E28" s="23"/>
      <c r="F28" s="23"/>
      <c r="G28" s="15"/>
      <c r="H28" s="15"/>
      <c r="I28" s="15"/>
      <c r="J28" s="15"/>
      <c r="K28" s="15"/>
      <c r="L28" s="60"/>
      <c r="M28" s="15"/>
      <c r="N28" s="60"/>
      <c r="O28" s="15"/>
      <c r="P28" s="60"/>
    </row>
    <row r="29" spans="1:16" ht="13.5">
      <c r="A29" s="23"/>
      <c r="B29" s="23"/>
      <c r="C29" s="23"/>
      <c r="D29" s="23"/>
      <c r="E29" s="23"/>
      <c r="F29" s="23"/>
      <c r="G29" s="15"/>
      <c r="H29" s="15"/>
      <c r="I29" s="15"/>
      <c r="J29" s="15"/>
      <c r="K29" s="15"/>
      <c r="L29" s="60"/>
      <c r="M29" s="15"/>
      <c r="N29" s="60"/>
      <c r="O29" s="15"/>
      <c r="P29" s="60"/>
    </row>
    <row r="30" spans="1:16" ht="13.5">
      <c r="A30" s="23"/>
      <c r="B30" s="23"/>
      <c r="C30" s="23"/>
      <c r="D30" s="23"/>
      <c r="E30" s="23"/>
      <c r="F30" s="23"/>
      <c r="G30" s="15"/>
      <c r="H30" s="15"/>
      <c r="I30" s="15"/>
      <c r="J30" s="15"/>
      <c r="K30" s="15"/>
      <c r="L30" s="60"/>
      <c r="M30" s="15"/>
      <c r="N30" s="60"/>
      <c r="O30" s="15"/>
      <c r="P30" s="60"/>
    </row>
    <row r="31" spans="1:16" ht="13.5">
      <c r="A31" s="23"/>
      <c r="B31" s="23"/>
      <c r="C31" s="23"/>
      <c r="D31" s="23"/>
      <c r="E31" s="23"/>
      <c r="F31" s="23"/>
      <c r="G31" s="15"/>
      <c r="H31" s="15"/>
      <c r="I31" s="15"/>
      <c r="J31" s="15"/>
      <c r="K31" s="15"/>
      <c r="L31" s="60"/>
      <c r="M31" s="15"/>
      <c r="N31" s="60"/>
      <c r="O31" s="15"/>
      <c r="P31" s="60"/>
    </row>
    <row r="32" spans="1:16" ht="13.5">
      <c r="A32" s="23"/>
      <c r="B32" s="23"/>
      <c r="C32" s="23"/>
      <c r="D32" s="23"/>
      <c r="E32" s="23"/>
      <c r="F32" s="23"/>
      <c r="G32" s="15"/>
      <c r="H32" s="15"/>
      <c r="I32" s="15"/>
      <c r="J32" s="15"/>
      <c r="K32" s="15"/>
      <c r="L32" s="60"/>
      <c r="M32" s="15"/>
      <c r="N32" s="60"/>
      <c r="O32" s="15"/>
      <c r="P32" s="60"/>
    </row>
    <row r="33" spans="1:16" ht="13.5">
      <c r="A33" s="23"/>
      <c r="B33" s="23"/>
      <c r="C33" s="23"/>
      <c r="D33" s="23"/>
      <c r="E33" s="23"/>
      <c r="F33" s="23"/>
      <c r="G33" s="20"/>
      <c r="H33" s="20"/>
      <c r="I33" s="20"/>
      <c r="J33" s="20"/>
      <c r="K33" s="15"/>
      <c r="L33" s="60"/>
      <c r="M33" s="15"/>
      <c r="N33" s="60"/>
      <c r="O33" s="15"/>
      <c r="P33" s="60"/>
    </row>
    <row r="34" spans="1:16" ht="13.5">
      <c r="A34" s="23"/>
      <c r="B34" s="23"/>
      <c r="C34" s="23"/>
      <c r="D34" s="23"/>
      <c r="E34" s="23"/>
      <c r="F34" s="23"/>
      <c r="G34" s="15"/>
      <c r="H34" s="15"/>
      <c r="I34" s="15"/>
      <c r="J34" s="15"/>
      <c r="K34" s="15"/>
      <c r="L34" s="60"/>
      <c r="M34" s="15"/>
      <c r="N34" s="60"/>
      <c r="O34" s="15"/>
      <c r="P34" s="60"/>
    </row>
    <row r="35" spans="1:13" ht="13.5">
      <c r="A35" s="23"/>
      <c r="B35" s="23"/>
      <c r="C35" s="23"/>
      <c r="D35" s="23"/>
      <c r="E35" s="23"/>
      <c r="F35" s="60"/>
      <c r="G35" s="15"/>
      <c r="H35" s="15"/>
      <c r="I35" s="15"/>
      <c r="J35" s="15"/>
      <c r="K35" s="21"/>
      <c r="L35" s="60"/>
      <c r="M35" s="21"/>
    </row>
    <row r="36" spans="1:16" ht="13.5">
      <c r="A36" s="23"/>
      <c r="B36" s="24"/>
      <c r="C36" s="24"/>
      <c r="D36" s="24"/>
      <c r="E36" s="23"/>
      <c r="F36" s="23"/>
      <c r="G36" s="15"/>
      <c r="H36" s="15"/>
      <c r="I36" s="15"/>
      <c r="J36" s="15"/>
      <c r="K36" s="15"/>
      <c r="L36" s="60"/>
      <c r="M36" s="15"/>
      <c r="N36" s="60"/>
      <c r="O36" s="15"/>
      <c r="P36" s="60"/>
    </row>
  </sheetData>
  <mergeCells count="8">
    <mergeCell ref="A1:P1"/>
    <mergeCell ref="A2:P2"/>
    <mergeCell ref="A3:P3"/>
    <mergeCell ref="A4:P4"/>
    <mergeCell ref="A6:P6"/>
    <mergeCell ref="A7:P7"/>
    <mergeCell ref="J10:K10"/>
    <mergeCell ref="L10:M10"/>
  </mergeCells>
  <printOptions/>
  <pageMargins left="0.8" right="0.8" top="1" bottom="1.35" header="0.8" footer="0.8"/>
  <pageSetup firstPageNumber="7" useFirstPageNumber="1" fitToHeight="1" fitToWidth="1" horizontalDpi="600" verticalDpi="600" orientation="landscape" scale="59" r:id="rId1"/>
  <headerFooter alignWithMargins="0">
    <oddFooter xml:space="preserve">&amp;R&amp;"Courier New,Regular"&amp;12Exhibit PB-11 Defense Health Program Funding Summary
(Page &amp;P of 7)&amp;5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zoomScale="75" zoomScaleNormal="75" workbookViewId="0" topLeftCell="A1">
      <selection activeCell="N50" sqref="N50"/>
    </sheetView>
  </sheetViews>
  <sheetFormatPr defaultColWidth="9.140625" defaultRowHeight="12.75"/>
  <cols>
    <col min="1" max="1" width="1.7109375" style="3" customWidth="1"/>
    <col min="2" max="2" width="6.7109375" style="3" customWidth="1"/>
    <col min="3" max="5" width="9.140625" style="3" customWidth="1"/>
    <col min="6" max="6" width="2.7109375" style="3" customWidth="1"/>
    <col min="7" max="8" width="9.140625" style="3" customWidth="1"/>
    <col min="9" max="9" width="2.7109375" style="3" customWidth="1"/>
    <col min="10" max="10" width="9.140625" style="3" customWidth="1"/>
    <col min="11" max="11" width="9.7109375" style="3" customWidth="1"/>
    <col min="12" max="12" width="2.7109375" style="3" customWidth="1"/>
    <col min="13" max="14" width="9.140625" style="3" customWidth="1"/>
    <col min="15" max="15" width="2.7109375" style="3" customWidth="1"/>
    <col min="16" max="16" width="9.140625" style="3" customWidth="1"/>
    <col min="17" max="17" width="7.8515625" style="3" customWidth="1"/>
    <col min="18" max="18" width="9.140625" style="3" customWidth="1"/>
    <col min="19" max="19" width="8.140625" style="3" customWidth="1"/>
    <col min="20" max="21" width="9.140625" style="3" customWidth="1"/>
    <col min="22" max="22" width="4.140625" style="3" customWidth="1"/>
    <col min="23" max="16384" width="9.140625" style="3" customWidth="1"/>
  </cols>
  <sheetData>
    <row r="1" spans="1:24" s="45" customFormat="1" ht="13.5">
      <c r="A1" s="102" t="s">
        <v>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42"/>
      <c r="T1" s="42"/>
      <c r="U1" s="42"/>
      <c r="V1" s="42"/>
      <c r="W1" s="42"/>
      <c r="X1" s="42"/>
    </row>
    <row r="2" spans="1:24" s="45" customFormat="1" ht="13.5">
      <c r="A2" s="95" t="str">
        <f>RDTE!A2</f>
        <v>Fiscal Year 2003 Budget Estimate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42"/>
      <c r="U2" s="42"/>
      <c r="V2" s="42"/>
      <c r="W2" s="42"/>
      <c r="X2" s="42"/>
    </row>
    <row r="3" spans="1:24" s="46" customFormat="1" ht="13.5">
      <c r="A3" s="102" t="s">
        <v>242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42"/>
      <c r="U3" s="42"/>
      <c r="V3" s="42"/>
      <c r="W3" s="42"/>
      <c r="X3" s="42"/>
    </row>
    <row r="4" spans="1:15" s="40" customFormat="1" ht="13.5">
      <c r="A4" s="33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24" s="46" customFormat="1" ht="13.5">
      <c r="A5" s="102" t="s">
        <v>241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42"/>
      <c r="U5" s="42"/>
      <c r="V5" s="42"/>
      <c r="W5" s="42"/>
      <c r="X5" s="42"/>
    </row>
    <row r="6" spans="1:24" s="46" customFormat="1" ht="13.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13" s="1" customFormat="1" ht="13.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s="1" customFormat="1" ht="13.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9" ht="13.5">
      <c r="A9" s="15"/>
      <c r="B9" s="15"/>
      <c r="C9" s="15"/>
      <c r="D9" s="15"/>
      <c r="E9" s="15"/>
      <c r="F9" s="16"/>
      <c r="G9" s="100" t="s">
        <v>279</v>
      </c>
      <c r="H9" s="100"/>
      <c r="I9" s="15"/>
      <c r="J9" s="100" t="s">
        <v>219</v>
      </c>
      <c r="K9" s="100"/>
      <c r="L9" s="15"/>
      <c r="M9" s="100" t="s">
        <v>280</v>
      </c>
      <c r="N9" s="100"/>
      <c r="O9" s="15"/>
      <c r="P9" s="101" t="s">
        <v>212</v>
      </c>
      <c r="Q9" s="101"/>
      <c r="R9" s="101" t="s">
        <v>278</v>
      </c>
      <c r="S9" s="101"/>
    </row>
    <row r="10" spans="1:19" ht="13.5">
      <c r="A10" s="15"/>
      <c r="B10" s="15"/>
      <c r="C10" s="15"/>
      <c r="D10" s="15"/>
      <c r="E10" s="15"/>
      <c r="F10" s="17"/>
      <c r="G10" s="16" t="s">
        <v>151</v>
      </c>
      <c r="H10" s="17" t="s">
        <v>153</v>
      </c>
      <c r="I10" s="17"/>
      <c r="J10" s="16" t="s">
        <v>151</v>
      </c>
      <c r="K10" s="17" t="s">
        <v>153</v>
      </c>
      <c r="L10" s="15"/>
      <c r="M10" s="16" t="s">
        <v>151</v>
      </c>
      <c r="N10" s="17" t="s">
        <v>153</v>
      </c>
      <c r="O10" s="15"/>
      <c r="P10" s="16" t="s">
        <v>151</v>
      </c>
      <c r="Q10" s="17" t="s">
        <v>153</v>
      </c>
      <c r="R10" s="16" t="s">
        <v>151</v>
      </c>
      <c r="S10" s="17" t="s">
        <v>153</v>
      </c>
    </row>
    <row r="11" spans="1:19" ht="13.5">
      <c r="A11" s="15"/>
      <c r="B11" s="15"/>
      <c r="C11" s="15"/>
      <c r="D11" s="15"/>
      <c r="E11" s="15"/>
      <c r="F11" s="17"/>
      <c r="G11" s="17" t="s">
        <v>152</v>
      </c>
      <c r="H11" s="17" t="s">
        <v>152</v>
      </c>
      <c r="I11" s="17"/>
      <c r="J11" s="17" t="s">
        <v>152</v>
      </c>
      <c r="K11" s="17" t="s">
        <v>152</v>
      </c>
      <c r="L11" s="15"/>
      <c r="M11" s="17" t="s">
        <v>152</v>
      </c>
      <c r="N11" s="17" t="s">
        <v>152</v>
      </c>
      <c r="O11" s="15"/>
      <c r="P11" s="17" t="s">
        <v>152</v>
      </c>
      <c r="Q11" s="17" t="s">
        <v>152</v>
      </c>
      <c r="R11" s="17" t="s">
        <v>152</v>
      </c>
      <c r="S11" s="17" t="s">
        <v>152</v>
      </c>
    </row>
    <row r="12" spans="1:15" ht="13.5">
      <c r="A12" s="15"/>
      <c r="B12" s="15"/>
      <c r="C12" s="15"/>
      <c r="D12" s="15"/>
      <c r="E12" s="15"/>
      <c r="F12" s="17"/>
      <c r="G12" s="17"/>
      <c r="H12" s="17"/>
      <c r="I12" s="17"/>
      <c r="J12" s="15"/>
      <c r="K12" s="15"/>
      <c r="L12" s="15"/>
      <c r="M12" s="15"/>
      <c r="N12" s="15"/>
      <c r="O12" s="15"/>
    </row>
    <row r="13" spans="1:15" ht="13.5">
      <c r="A13" s="18" t="s">
        <v>114</v>
      </c>
      <c r="B13" s="22"/>
      <c r="C13" s="22"/>
      <c r="D13" s="22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3.5">
      <c r="A14" s="19"/>
      <c r="B14" s="15"/>
      <c r="C14" s="15"/>
      <c r="D14" s="15"/>
      <c r="E14" s="15"/>
      <c r="F14" s="15"/>
      <c r="G14" s="15"/>
      <c r="H14" s="15"/>
      <c r="I14" s="21"/>
      <c r="J14" s="15"/>
      <c r="K14" s="15"/>
      <c r="L14" s="15"/>
      <c r="M14" s="15"/>
      <c r="N14" s="15"/>
      <c r="O14" s="15"/>
    </row>
    <row r="15" spans="1:15" ht="13.5">
      <c r="A15" s="20" t="s">
        <v>115</v>
      </c>
      <c r="B15" s="15"/>
      <c r="C15" s="15"/>
      <c r="D15" s="15"/>
      <c r="E15" s="15"/>
      <c r="F15" s="15"/>
      <c r="G15" s="15"/>
      <c r="H15" s="15"/>
      <c r="I15" s="21"/>
      <c r="J15" s="15"/>
      <c r="K15" s="15"/>
      <c r="L15" s="15"/>
      <c r="M15" s="15"/>
      <c r="N15" s="15"/>
      <c r="O15" s="15"/>
    </row>
    <row r="16" spans="1:19" ht="13.5">
      <c r="A16" s="19"/>
      <c r="B16" s="15" t="s">
        <v>118</v>
      </c>
      <c r="C16" s="15"/>
      <c r="D16" s="15"/>
      <c r="E16" s="15"/>
      <c r="F16" s="15"/>
      <c r="G16" s="15">
        <v>10809</v>
      </c>
      <c r="H16" s="15">
        <v>10910</v>
      </c>
      <c r="I16" s="15"/>
      <c r="J16" s="15">
        <v>11014</v>
      </c>
      <c r="K16" s="15">
        <v>10911.5</v>
      </c>
      <c r="L16" s="15"/>
      <c r="M16" s="15">
        <v>11011</v>
      </c>
      <c r="N16" s="15">
        <v>11012.5</v>
      </c>
      <c r="O16" s="15"/>
      <c r="P16" s="15">
        <f>J16-G16</f>
        <v>205</v>
      </c>
      <c r="Q16" s="15">
        <f>K16-H16</f>
        <v>1.5</v>
      </c>
      <c r="R16" s="15">
        <f>M16-J16</f>
        <v>-3</v>
      </c>
      <c r="S16" s="15">
        <f>N16-K16</f>
        <v>101</v>
      </c>
    </row>
    <row r="17" spans="1:19" ht="13.5">
      <c r="A17" s="19"/>
      <c r="B17" s="15" t="s">
        <v>116</v>
      </c>
      <c r="C17" s="15"/>
      <c r="D17" s="15"/>
      <c r="E17" s="15"/>
      <c r="F17" s="15"/>
      <c r="G17" s="15">
        <v>14392</v>
      </c>
      <c r="H17" s="15">
        <v>14760.5</v>
      </c>
      <c r="I17" s="15"/>
      <c r="J17" s="15">
        <v>15304</v>
      </c>
      <c r="K17" s="15">
        <v>14848</v>
      </c>
      <c r="L17" s="15"/>
      <c r="M17" s="15">
        <v>15304</v>
      </c>
      <c r="N17" s="15">
        <v>15304</v>
      </c>
      <c r="O17" s="15"/>
      <c r="P17" s="15">
        <f>J17-G17</f>
        <v>912</v>
      </c>
      <c r="Q17" s="15">
        <f>K17-H17</f>
        <v>87.5</v>
      </c>
      <c r="R17" s="15">
        <f>M17-J17</f>
        <v>0</v>
      </c>
      <c r="S17" s="15">
        <f>N17-K17</f>
        <v>456</v>
      </c>
    </row>
    <row r="18" spans="1:19" ht="13.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3.5">
      <c r="A19" s="20" t="s">
        <v>117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3.5">
      <c r="A20" s="20"/>
      <c r="B20" s="15" t="s">
        <v>118</v>
      </c>
      <c r="C20" s="15"/>
      <c r="D20" s="15"/>
      <c r="E20" s="15"/>
      <c r="F20" s="15"/>
      <c r="G20" s="15">
        <v>9577</v>
      </c>
      <c r="H20" s="15">
        <v>9358</v>
      </c>
      <c r="I20" s="15"/>
      <c r="J20" s="15">
        <v>9673</v>
      </c>
      <c r="K20" s="15">
        <v>9625</v>
      </c>
      <c r="L20" s="15"/>
      <c r="M20" s="15">
        <v>9686</v>
      </c>
      <c r="N20" s="15">
        <v>9679.5</v>
      </c>
      <c r="O20" s="15"/>
      <c r="P20" s="15">
        <f>J20-G20</f>
        <v>96</v>
      </c>
      <c r="Q20" s="15">
        <f>K20-H20</f>
        <v>267</v>
      </c>
      <c r="R20" s="15">
        <f>M20-J20</f>
        <v>13</v>
      </c>
      <c r="S20" s="15">
        <f>N20-K20</f>
        <v>54.5</v>
      </c>
    </row>
    <row r="21" spans="1:19" ht="13.5">
      <c r="A21" s="19"/>
      <c r="B21" s="15" t="s">
        <v>116</v>
      </c>
      <c r="C21" s="15"/>
      <c r="D21" s="15"/>
      <c r="E21" s="15"/>
      <c r="F21" s="15"/>
      <c r="G21" s="15">
        <v>19684</v>
      </c>
      <c r="H21" s="15">
        <v>19684</v>
      </c>
      <c r="I21" s="15"/>
      <c r="J21" s="15">
        <v>21737</v>
      </c>
      <c r="K21" s="15">
        <v>20710.5</v>
      </c>
      <c r="L21" s="15"/>
      <c r="M21" s="15">
        <v>21765</v>
      </c>
      <c r="N21" s="15">
        <v>21751</v>
      </c>
      <c r="O21" s="15"/>
      <c r="P21" s="15">
        <f>J21-G21</f>
        <v>2053</v>
      </c>
      <c r="Q21" s="15">
        <f>K21-H21</f>
        <v>1026.5</v>
      </c>
      <c r="R21" s="15">
        <f>M21-J21</f>
        <v>28</v>
      </c>
      <c r="S21" s="15">
        <f>N21-K21</f>
        <v>1040.5</v>
      </c>
    </row>
    <row r="22" spans="1:19" ht="13.5">
      <c r="A22" s="19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3.5">
      <c r="A23" s="20" t="s">
        <v>119</v>
      </c>
      <c r="B23" s="15"/>
      <c r="C23" s="15"/>
      <c r="D23" s="15"/>
      <c r="E23" s="15"/>
      <c r="F23" s="20"/>
      <c r="G23" s="15"/>
      <c r="H23" s="15"/>
      <c r="I23" s="15"/>
      <c r="J23" s="15"/>
      <c r="K23" s="15"/>
      <c r="L23" s="15"/>
      <c r="M23" s="15"/>
      <c r="N23" s="15"/>
      <c r="O23" s="15"/>
      <c r="P23" s="15">
        <f aca="true" t="shared" si="0" ref="P23:Q25">J23-G23</f>
        <v>0</v>
      </c>
      <c r="Q23" s="15">
        <f t="shared" si="0"/>
        <v>0</v>
      </c>
      <c r="R23" s="15">
        <f aca="true" t="shared" si="1" ref="R23:S25">M23-J23</f>
        <v>0</v>
      </c>
      <c r="S23" s="15">
        <f t="shared" si="1"/>
        <v>0</v>
      </c>
    </row>
    <row r="24" spans="1:19" ht="13.5">
      <c r="A24" s="15"/>
      <c r="B24" s="15" t="s">
        <v>118</v>
      </c>
      <c r="C24" s="15"/>
      <c r="D24" s="15"/>
      <c r="E24" s="15"/>
      <c r="F24" s="15"/>
      <c r="G24" s="15">
        <v>11239</v>
      </c>
      <c r="H24" s="15">
        <v>11238</v>
      </c>
      <c r="I24" s="15"/>
      <c r="J24" s="15">
        <v>11793</v>
      </c>
      <c r="K24" s="15">
        <v>11516</v>
      </c>
      <c r="L24" s="15"/>
      <c r="M24" s="15">
        <v>11793</v>
      </c>
      <c r="N24" s="15">
        <v>11793</v>
      </c>
      <c r="O24" s="15"/>
      <c r="P24" s="15">
        <f t="shared" si="0"/>
        <v>554</v>
      </c>
      <c r="Q24" s="15">
        <f t="shared" si="0"/>
        <v>278</v>
      </c>
      <c r="R24" s="15">
        <f t="shared" si="1"/>
        <v>0</v>
      </c>
      <c r="S24" s="15">
        <f t="shared" si="1"/>
        <v>277</v>
      </c>
    </row>
    <row r="25" spans="1:19" ht="13.5">
      <c r="A25" s="15"/>
      <c r="B25" s="15" t="s">
        <v>116</v>
      </c>
      <c r="C25" s="15"/>
      <c r="D25" s="15"/>
      <c r="E25" s="15"/>
      <c r="F25" s="15"/>
      <c r="G25" s="15">
        <v>20179</v>
      </c>
      <c r="H25" s="15">
        <v>20968</v>
      </c>
      <c r="I25" s="15"/>
      <c r="J25" s="15">
        <v>22352</v>
      </c>
      <c r="K25" s="15">
        <v>21265.5</v>
      </c>
      <c r="L25" s="15"/>
      <c r="M25" s="15">
        <v>22349</v>
      </c>
      <c r="N25" s="15">
        <v>22350.5</v>
      </c>
      <c r="O25" s="15"/>
      <c r="P25" s="15">
        <f t="shared" si="0"/>
        <v>2173</v>
      </c>
      <c r="Q25" s="15">
        <f t="shared" si="0"/>
        <v>297.5</v>
      </c>
      <c r="R25" s="15">
        <f t="shared" si="1"/>
        <v>-3</v>
      </c>
      <c r="S25" s="15">
        <f t="shared" si="1"/>
        <v>1085</v>
      </c>
    </row>
    <row r="26" spans="1:19" ht="13.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3.5">
      <c r="A27" s="20" t="s">
        <v>121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3.5">
      <c r="A28" s="15"/>
      <c r="B28" s="15" t="s">
        <v>118</v>
      </c>
      <c r="C28" s="15"/>
      <c r="D28" s="15"/>
      <c r="E28" s="15"/>
      <c r="F28" s="15"/>
      <c r="G28" s="15">
        <v>31625</v>
      </c>
      <c r="H28" s="15">
        <v>31506</v>
      </c>
      <c r="I28" s="15"/>
      <c r="J28" s="15">
        <v>32480</v>
      </c>
      <c r="K28" s="15">
        <v>32052.5</v>
      </c>
      <c r="L28" s="15"/>
      <c r="M28" s="15">
        <v>32490</v>
      </c>
      <c r="N28" s="15">
        <v>32485</v>
      </c>
      <c r="O28" s="15"/>
      <c r="P28" s="15">
        <f>J28-G28</f>
        <v>855</v>
      </c>
      <c r="Q28" s="15">
        <f>K28-H28</f>
        <v>546.5</v>
      </c>
      <c r="R28" s="15">
        <f>M28-J28</f>
        <v>10</v>
      </c>
      <c r="S28" s="15">
        <f>N28-K28</f>
        <v>432.5</v>
      </c>
    </row>
    <row r="29" spans="1:19" ht="13.5">
      <c r="A29" s="15"/>
      <c r="B29" s="15" t="s">
        <v>116</v>
      </c>
      <c r="C29" s="15"/>
      <c r="D29" s="15"/>
      <c r="E29" s="15"/>
      <c r="F29" s="15"/>
      <c r="G29" s="15">
        <v>54255</v>
      </c>
      <c r="H29" s="15">
        <v>55412.5</v>
      </c>
      <c r="I29" s="15"/>
      <c r="J29" s="15">
        <v>59393</v>
      </c>
      <c r="K29" s="15">
        <v>56824</v>
      </c>
      <c r="L29" s="15"/>
      <c r="M29" s="15">
        <v>59418</v>
      </c>
      <c r="N29" s="15">
        <v>59405.5</v>
      </c>
      <c r="O29" s="15"/>
      <c r="P29" s="15">
        <f>J29-G29</f>
        <v>5138</v>
      </c>
      <c r="Q29" s="15">
        <f>K29-H29</f>
        <v>1411.5</v>
      </c>
      <c r="R29" s="15">
        <f>M29-J29</f>
        <v>25</v>
      </c>
      <c r="S29" s="15">
        <f>N29-K29</f>
        <v>2581.5</v>
      </c>
    </row>
    <row r="30" spans="1:19" ht="13.5">
      <c r="A30" s="20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3.5">
      <c r="A31" s="18" t="s">
        <v>120</v>
      </c>
      <c r="B31" s="22"/>
      <c r="C31" s="22"/>
      <c r="D31" s="22"/>
      <c r="E31" s="22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3.5">
      <c r="A32" s="19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3.5">
      <c r="A33" s="20" t="s">
        <v>115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3.5">
      <c r="A34" s="19"/>
      <c r="B34" s="15" t="s">
        <v>118</v>
      </c>
      <c r="C34" s="15"/>
      <c r="D34" s="15"/>
      <c r="E34" s="15"/>
      <c r="F34" s="15"/>
      <c r="G34" s="15">
        <v>3167</v>
      </c>
      <c r="H34" s="15">
        <v>3169.5</v>
      </c>
      <c r="I34" s="15"/>
      <c r="J34" s="15">
        <v>3218</v>
      </c>
      <c r="K34" s="15">
        <v>3192.5</v>
      </c>
      <c r="L34" s="15"/>
      <c r="M34" s="15">
        <v>3220</v>
      </c>
      <c r="N34" s="15">
        <v>3219</v>
      </c>
      <c r="O34" s="15"/>
      <c r="P34" s="15">
        <f>J34-G34</f>
        <v>51</v>
      </c>
      <c r="Q34" s="15">
        <f>K34-H34</f>
        <v>23</v>
      </c>
      <c r="R34" s="15">
        <f>M34-J34</f>
        <v>2</v>
      </c>
      <c r="S34" s="15">
        <f>N34-K34</f>
        <v>26.5</v>
      </c>
    </row>
    <row r="35" spans="1:19" ht="13.5">
      <c r="A35" s="19"/>
      <c r="B35" s="15" t="s">
        <v>116</v>
      </c>
      <c r="C35" s="15"/>
      <c r="D35" s="15"/>
      <c r="E35" s="15"/>
      <c r="F35" s="15"/>
      <c r="G35" s="15">
        <v>14428</v>
      </c>
      <c r="H35" s="15">
        <v>14592.5</v>
      </c>
      <c r="I35" s="15"/>
      <c r="J35" s="15">
        <v>14408</v>
      </c>
      <c r="K35" s="15">
        <v>14418</v>
      </c>
      <c r="L35" s="15"/>
      <c r="M35" s="15">
        <v>14408</v>
      </c>
      <c r="N35" s="15">
        <v>14408</v>
      </c>
      <c r="O35" s="15"/>
      <c r="P35" s="15">
        <f>J35-G35</f>
        <v>-20</v>
      </c>
      <c r="Q35" s="15">
        <f>K35-H35</f>
        <v>-174.5</v>
      </c>
      <c r="R35" s="15">
        <f>M35-J35</f>
        <v>0</v>
      </c>
      <c r="S35" s="15">
        <f>N35-K35</f>
        <v>-10</v>
      </c>
    </row>
    <row r="36" spans="1:19" ht="13.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3.5">
      <c r="A37" s="20" t="s">
        <v>117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3.5">
      <c r="A38" s="20"/>
      <c r="B38" s="15" t="s">
        <v>118</v>
      </c>
      <c r="C38" s="15"/>
      <c r="D38" s="15"/>
      <c r="E38" s="15"/>
      <c r="F38" s="15"/>
      <c r="G38" s="15">
        <v>1873</v>
      </c>
      <c r="H38" s="15">
        <v>1872</v>
      </c>
      <c r="I38" s="15"/>
      <c r="J38" s="15">
        <v>1873</v>
      </c>
      <c r="K38" s="15">
        <v>1873</v>
      </c>
      <c r="L38" s="15"/>
      <c r="M38" s="15">
        <v>1868</v>
      </c>
      <c r="N38" s="15">
        <v>1870.5</v>
      </c>
      <c r="O38" s="15"/>
      <c r="P38" s="15">
        <f>J38-G38</f>
        <v>0</v>
      </c>
      <c r="Q38" s="15">
        <f>K38-H38</f>
        <v>1</v>
      </c>
      <c r="R38" s="15">
        <f>M38-J38</f>
        <v>-5</v>
      </c>
      <c r="S38" s="15">
        <f>N38-K38</f>
        <v>-2.5</v>
      </c>
    </row>
    <row r="39" spans="1:19" ht="13.5">
      <c r="A39" s="19"/>
      <c r="B39" s="15" t="s">
        <v>116</v>
      </c>
      <c r="C39" s="15"/>
      <c r="D39" s="15"/>
      <c r="E39" s="15"/>
      <c r="F39" s="15"/>
      <c r="G39" s="15">
        <v>8427</v>
      </c>
      <c r="H39" s="15">
        <v>8425</v>
      </c>
      <c r="I39" s="15"/>
      <c r="J39" s="15">
        <v>8409</v>
      </c>
      <c r="K39" s="15">
        <v>8418</v>
      </c>
      <c r="L39" s="15"/>
      <c r="M39" s="15">
        <v>8376</v>
      </c>
      <c r="N39" s="15">
        <v>8392.5</v>
      </c>
      <c r="O39" s="15"/>
      <c r="P39" s="15">
        <f>J39-G39</f>
        <v>-18</v>
      </c>
      <c r="Q39" s="15">
        <f>K39-H39</f>
        <v>-7</v>
      </c>
      <c r="R39" s="15">
        <f>M39-J39</f>
        <v>-33</v>
      </c>
      <c r="S39" s="15">
        <f>N39-K39</f>
        <v>-25.5</v>
      </c>
    </row>
    <row r="40" spans="1:19" ht="13.5">
      <c r="A40" s="19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3.5">
      <c r="A41" s="20" t="s">
        <v>119</v>
      </c>
      <c r="B41" s="15"/>
      <c r="C41" s="15"/>
      <c r="D41" s="15"/>
      <c r="E41" s="15"/>
      <c r="F41" s="20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3.5">
      <c r="A42" s="15"/>
      <c r="B42" s="15" t="s">
        <v>118</v>
      </c>
      <c r="C42" s="15"/>
      <c r="D42" s="15"/>
      <c r="E42" s="15"/>
      <c r="F42" s="15"/>
      <c r="G42" s="15">
        <v>780</v>
      </c>
      <c r="H42" s="15">
        <v>915</v>
      </c>
      <c r="I42" s="15"/>
      <c r="J42" s="15">
        <v>780</v>
      </c>
      <c r="K42" s="15">
        <v>780</v>
      </c>
      <c r="L42" s="15"/>
      <c r="M42" s="15">
        <v>780</v>
      </c>
      <c r="N42" s="15">
        <v>780</v>
      </c>
      <c r="O42" s="15"/>
      <c r="P42" s="15">
        <f>J42-G42</f>
        <v>0</v>
      </c>
      <c r="Q42" s="15">
        <f>K42-H42</f>
        <v>-135</v>
      </c>
      <c r="R42" s="15">
        <f>M42-J42</f>
        <v>0</v>
      </c>
      <c r="S42" s="15">
        <f>N42-K42</f>
        <v>0</v>
      </c>
    </row>
    <row r="43" spans="1:19" ht="13.5">
      <c r="A43" s="15"/>
      <c r="B43" s="15" t="s">
        <v>116</v>
      </c>
      <c r="C43" s="15"/>
      <c r="D43" s="15"/>
      <c r="E43" s="15"/>
      <c r="F43" s="15"/>
      <c r="G43" s="15">
        <v>1416</v>
      </c>
      <c r="H43" s="15">
        <v>1160</v>
      </c>
      <c r="I43" s="15"/>
      <c r="J43" s="15">
        <v>1416</v>
      </c>
      <c r="K43" s="15">
        <v>1416</v>
      </c>
      <c r="L43" s="15"/>
      <c r="M43" s="15">
        <v>1416</v>
      </c>
      <c r="N43" s="15">
        <v>1416</v>
      </c>
      <c r="O43" s="15"/>
      <c r="P43" s="15">
        <f>J43-G43</f>
        <v>0</v>
      </c>
      <c r="Q43" s="15">
        <f>K43-H43</f>
        <v>256</v>
      </c>
      <c r="R43" s="15">
        <f>M43-J43</f>
        <v>0</v>
      </c>
      <c r="S43" s="15">
        <f>N43-K43</f>
        <v>0</v>
      </c>
    </row>
    <row r="44" spans="1:19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3.5">
      <c r="A45" s="20" t="s">
        <v>121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3.5">
      <c r="A46" s="15"/>
      <c r="B46" s="15" t="s">
        <v>118</v>
      </c>
      <c r="C46" s="15"/>
      <c r="D46" s="15"/>
      <c r="E46" s="15"/>
      <c r="F46" s="15"/>
      <c r="G46" s="15">
        <v>6456</v>
      </c>
      <c r="H46" s="15">
        <v>6201.5</v>
      </c>
      <c r="I46" s="15"/>
      <c r="J46" s="15">
        <v>6507</v>
      </c>
      <c r="K46" s="15">
        <v>6481.5</v>
      </c>
      <c r="L46" s="15"/>
      <c r="M46" s="15">
        <v>6504</v>
      </c>
      <c r="N46" s="15">
        <v>6505.5</v>
      </c>
      <c r="O46" s="15"/>
      <c r="P46" s="15">
        <f>J46-G46</f>
        <v>51</v>
      </c>
      <c r="Q46" s="15">
        <f>K46-H46</f>
        <v>280</v>
      </c>
      <c r="R46" s="15">
        <f>M46-J46</f>
        <v>-3</v>
      </c>
      <c r="S46" s="15">
        <f>N46-K46</f>
        <v>24</v>
      </c>
    </row>
    <row r="47" spans="1:19" ht="13.5">
      <c r="A47" s="15"/>
      <c r="B47" s="15" t="s">
        <v>116</v>
      </c>
      <c r="C47" s="15"/>
      <c r="D47" s="15"/>
      <c r="E47" s="15"/>
      <c r="F47" s="15"/>
      <c r="G47" s="15">
        <v>22855</v>
      </c>
      <c r="H47" s="15">
        <v>23017.5</v>
      </c>
      <c r="I47" s="15"/>
      <c r="J47" s="15">
        <v>22817</v>
      </c>
      <c r="K47" s="15">
        <v>22836</v>
      </c>
      <c r="L47" s="15"/>
      <c r="M47" s="15">
        <v>22784</v>
      </c>
      <c r="N47" s="15">
        <v>22800.5</v>
      </c>
      <c r="O47" s="15"/>
      <c r="P47" s="15">
        <f>J47-G47</f>
        <v>-38</v>
      </c>
      <c r="Q47" s="15">
        <f>K47-H47</f>
        <v>-181.5</v>
      </c>
      <c r="R47" s="15">
        <f>M47-J47</f>
        <v>-33</v>
      </c>
      <c r="S47" s="15">
        <f>N47-K47</f>
        <v>-35.5</v>
      </c>
    </row>
    <row r="48" ht="12.75">
      <c r="A48" s="5"/>
    </row>
    <row r="49" spans="1:12" ht="12.75">
      <c r="A49" s="6"/>
      <c r="H49" s="2"/>
      <c r="I49" s="4"/>
      <c r="L49" s="2"/>
    </row>
    <row r="50" spans="1:12" ht="12.75">
      <c r="A50" s="6"/>
      <c r="H50" s="2"/>
      <c r="I50" s="4"/>
      <c r="J50" s="4"/>
      <c r="L50" s="2"/>
    </row>
    <row r="51" spans="1:12" ht="12.75">
      <c r="A51" s="6"/>
      <c r="F51" s="5"/>
      <c r="G51" s="5"/>
      <c r="H51" s="7"/>
      <c r="I51" s="8"/>
      <c r="J51" s="7"/>
      <c r="K51" s="5"/>
      <c r="L51" s="7"/>
    </row>
    <row r="52" spans="1:12" ht="12.75">
      <c r="A52" s="5"/>
      <c r="H52" s="2"/>
      <c r="I52" s="4"/>
      <c r="J52" s="2"/>
      <c r="L52" s="2"/>
    </row>
    <row r="53" ht="12.75">
      <c r="A53" s="5"/>
    </row>
    <row r="54" ht="12.75">
      <c r="A54" s="5"/>
    </row>
    <row r="55" spans="1:12" ht="12.75">
      <c r="A55" s="6"/>
      <c r="H55" s="2"/>
      <c r="I55" s="4"/>
      <c r="J55" s="2"/>
      <c r="L55" s="2"/>
    </row>
    <row r="56" spans="1:12" ht="12.75">
      <c r="A56" s="6"/>
      <c r="H56" s="2"/>
      <c r="I56" s="4"/>
      <c r="J56" s="2"/>
      <c r="L56" s="2"/>
    </row>
    <row r="57" spans="1:12" ht="12.75">
      <c r="A57" s="6"/>
      <c r="H57" s="2"/>
      <c r="I57" s="4"/>
      <c r="J57" s="2"/>
      <c r="L57" s="2"/>
    </row>
    <row r="58" spans="1:12" ht="12.75">
      <c r="A58" s="6"/>
      <c r="H58" s="2"/>
      <c r="I58" s="4"/>
      <c r="J58" s="2"/>
      <c r="L58" s="2"/>
    </row>
    <row r="59" spans="1:12" ht="12.75">
      <c r="A59" s="6"/>
      <c r="H59" s="2"/>
      <c r="I59" s="4"/>
      <c r="J59" s="2"/>
      <c r="L59" s="2"/>
    </row>
    <row r="60" spans="1:12" ht="12.75">
      <c r="A60" s="6"/>
      <c r="H60" s="2"/>
      <c r="I60" s="4"/>
      <c r="J60" s="2"/>
      <c r="L60" s="2"/>
    </row>
    <row r="61" spans="1:12" ht="12.75">
      <c r="A61" s="6"/>
      <c r="H61" s="2"/>
      <c r="I61" s="4"/>
      <c r="J61" s="2"/>
      <c r="L61" s="2"/>
    </row>
    <row r="62" spans="1:12" ht="12.75">
      <c r="A62" s="6"/>
      <c r="H62" s="2"/>
      <c r="I62" s="4"/>
      <c r="J62" s="2"/>
      <c r="L62" s="2"/>
    </row>
    <row r="63" spans="1:12" ht="12.75">
      <c r="A63" s="6"/>
      <c r="H63" s="2"/>
      <c r="I63" s="4"/>
      <c r="J63" s="2"/>
      <c r="L63" s="2"/>
    </row>
    <row r="64" spans="1:12" ht="12.75">
      <c r="A64" s="6"/>
      <c r="H64" s="2"/>
      <c r="I64" s="4"/>
      <c r="J64" s="2"/>
      <c r="L64" s="2"/>
    </row>
    <row r="65" spans="1:12" ht="12.75">
      <c r="A65" s="6"/>
      <c r="H65" s="2"/>
      <c r="I65" s="4"/>
      <c r="J65" s="2"/>
      <c r="L65" s="2"/>
    </row>
    <row r="66" spans="1:12" ht="12.75">
      <c r="A66" s="6"/>
      <c r="H66" s="2"/>
      <c r="I66" s="4"/>
      <c r="J66" s="2"/>
      <c r="L66" s="2"/>
    </row>
    <row r="67" spans="1:12" ht="12.75">
      <c r="A67" s="6"/>
      <c r="H67" s="2"/>
      <c r="I67" s="4"/>
      <c r="J67" s="2"/>
      <c r="L67" s="2"/>
    </row>
    <row r="68" spans="1:12" ht="12.75">
      <c r="A68" s="6"/>
      <c r="F68" s="5"/>
      <c r="G68" s="5"/>
      <c r="H68" s="7"/>
      <c r="I68" s="8"/>
      <c r="J68" s="7"/>
      <c r="K68" s="5"/>
      <c r="L68" s="7"/>
    </row>
    <row r="69" spans="8:12" ht="12.75">
      <c r="H69" s="2"/>
      <c r="I69" s="4"/>
      <c r="J69" s="2"/>
      <c r="L69" s="2"/>
    </row>
    <row r="71" spans="8:12" ht="12.75">
      <c r="H71" s="2"/>
      <c r="I71" s="4"/>
      <c r="J71" s="2"/>
      <c r="L71" s="2"/>
    </row>
  </sheetData>
  <mergeCells count="9">
    <mergeCell ref="A5:S5"/>
    <mergeCell ref="A1:R1"/>
    <mergeCell ref="A2:S2"/>
    <mergeCell ref="A3:S3"/>
    <mergeCell ref="M9:N9"/>
    <mergeCell ref="R9:S9"/>
    <mergeCell ref="G9:H9"/>
    <mergeCell ref="J9:K9"/>
    <mergeCell ref="P9:Q9"/>
  </mergeCells>
  <printOptions horizontalCentered="1"/>
  <pageMargins left="0.8" right="0.8" top="1" bottom="1.3" header="0.8" footer="0.8"/>
  <pageSetup firstPageNumber="1" useFirstPageNumber="1" fitToHeight="1" fitToWidth="1" horizontalDpi="600" verticalDpi="600" orientation="landscape" scale="72" r:id="rId1"/>
  <headerFooter alignWithMargins="0">
    <oddFooter>&amp;R&amp;"Courier New,Regular"&amp;12
Exhibit PB-11A Defense Health Program Personnel Summary
(Page &amp;P of 3)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1"/>
  <sheetViews>
    <sheetView zoomScale="75" zoomScaleNormal="75" workbookViewId="0" topLeftCell="B1">
      <selection activeCell="Q18" sqref="Q18"/>
    </sheetView>
  </sheetViews>
  <sheetFormatPr defaultColWidth="9.140625" defaultRowHeight="12.75"/>
  <cols>
    <col min="1" max="1" width="2.7109375" style="3" customWidth="1"/>
    <col min="2" max="2" width="3.7109375" style="3" customWidth="1"/>
    <col min="3" max="6" width="9.140625" style="3" customWidth="1"/>
    <col min="7" max="7" width="2.7109375" style="3" customWidth="1"/>
    <col min="8" max="9" width="9.140625" style="3" customWidth="1"/>
    <col min="10" max="10" width="2.7109375" style="3" customWidth="1"/>
    <col min="11" max="12" width="9.140625" style="3" customWidth="1"/>
    <col min="13" max="13" width="2.7109375" style="3" customWidth="1"/>
    <col min="14" max="15" width="9.140625" style="3" customWidth="1"/>
    <col min="16" max="16" width="2.7109375" style="3" customWidth="1"/>
    <col min="17" max="17" width="10.140625" style="3" bestFit="1" customWidth="1"/>
    <col min="18" max="18" width="9.140625" style="3" customWidth="1"/>
    <col min="19" max="19" width="2.7109375" style="3" customWidth="1"/>
    <col min="20" max="20" width="10.140625" style="3" bestFit="1" customWidth="1"/>
    <col min="21" max="21" width="9.140625" style="3" customWidth="1"/>
    <col min="22" max="22" width="3.57421875" style="3" customWidth="1"/>
    <col min="23" max="16384" width="9.140625" style="3" customWidth="1"/>
  </cols>
  <sheetData>
    <row r="1" spans="1:23" s="45" customFormat="1" ht="13.5" customHeight="1">
      <c r="A1" s="102" t="s">
        <v>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spans="1:23" s="45" customFormat="1" ht="13.5" customHeight="1">
      <c r="A2" s="104" t="str">
        <f>'Personnel Summary - Mil'!A2:X2</f>
        <v>Fiscal Year 2003 Budget Estimate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</row>
    <row r="3" spans="1:23" s="46" customFormat="1" ht="13.5">
      <c r="A3" s="102" t="s">
        <v>242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</row>
    <row r="4" spans="1:23" s="40" customFormat="1" ht="13.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</row>
    <row r="5" spans="1:15" s="40" customFormat="1" ht="13.5">
      <c r="A5" s="33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23" s="46" customFormat="1" ht="13.5">
      <c r="A6" s="102" t="s">
        <v>243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</row>
    <row r="7" spans="1:23" s="46" customFormat="1" ht="13.5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</row>
    <row r="8" spans="1:16" ht="13.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8" ht="13.5">
      <c r="A9" s="15"/>
      <c r="B9" s="15"/>
      <c r="C9" s="15"/>
      <c r="D9" s="15"/>
      <c r="E9" s="15"/>
      <c r="F9" s="15"/>
      <c r="G9" s="15"/>
      <c r="H9" s="100" t="s">
        <v>281</v>
      </c>
      <c r="I9" s="100"/>
      <c r="J9" s="15"/>
      <c r="K9" s="100" t="s">
        <v>219</v>
      </c>
      <c r="L9" s="100"/>
      <c r="M9" s="15"/>
      <c r="N9" s="100" t="s">
        <v>280</v>
      </c>
      <c r="O9" s="100"/>
      <c r="P9" s="15"/>
      <c r="Q9" s="101" t="s">
        <v>278</v>
      </c>
      <c r="R9" s="101"/>
    </row>
    <row r="10" spans="1:18" ht="13.5">
      <c r="A10" s="15"/>
      <c r="B10" s="15"/>
      <c r="C10" s="15"/>
      <c r="D10" s="15"/>
      <c r="E10" s="15"/>
      <c r="F10" s="16"/>
      <c r="G10" s="16"/>
      <c r="H10" s="16" t="s">
        <v>151</v>
      </c>
      <c r="I10" s="17"/>
      <c r="J10" s="15"/>
      <c r="K10" s="16" t="s">
        <v>151</v>
      </c>
      <c r="L10" s="17"/>
      <c r="M10" s="15"/>
      <c r="N10" s="16" t="s">
        <v>151</v>
      </c>
      <c r="O10" s="17"/>
      <c r="P10" s="15"/>
      <c r="Q10" s="16" t="s">
        <v>151</v>
      </c>
      <c r="R10" s="17"/>
    </row>
    <row r="11" spans="1:18" ht="13.5">
      <c r="A11" s="15"/>
      <c r="B11" s="15"/>
      <c r="C11" s="15"/>
      <c r="D11" s="15"/>
      <c r="E11" s="15"/>
      <c r="F11" s="17"/>
      <c r="G11" s="17"/>
      <c r="H11" s="17" t="s">
        <v>152</v>
      </c>
      <c r="I11" s="17" t="s">
        <v>154</v>
      </c>
      <c r="J11" s="17"/>
      <c r="K11" s="17" t="s">
        <v>152</v>
      </c>
      <c r="L11" s="17" t="s">
        <v>154</v>
      </c>
      <c r="M11" s="17"/>
      <c r="N11" s="17" t="s">
        <v>152</v>
      </c>
      <c r="O11" s="17" t="s">
        <v>154</v>
      </c>
      <c r="P11" s="15"/>
      <c r="Q11" s="17" t="s">
        <v>152</v>
      </c>
      <c r="R11" s="17" t="s">
        <v>154</v>
      </c>
    </row>
    <row r="12" spans="1:18" ht="13.5">
      <c r="A12" s="15"/>
      <c r="B12" s="15"/>
      <c r="C12" s="15"/>
      <c r="D12" s="15"/>
      <c r="E12" s="15"/>
      <c r="F12" s="17"/>
      <c r="G12" s="17"/>
      <c r="H12" s="17"/>
      <c r="I12" s="17"/>
      <c r="J12" s="17"/>
      <c r="K12" s="17"/>
      <c r="L12" s="17"/>
      <c r="M12" s="17"/>
      <c r="N12" s="15"/>
      <c r="O12" s="15"/>
      <c r="P12" s="15"/>
      <c r="Q12" s="15"/>
      <c r="R12" s="15"/>
    </row>
    <row r="13" spans="1:18" ht="13.5">
      <c r="A13" s="18" t="s">
        <v>122</v>
      </c>
      <c r="B13" s="18" t="s">
        <v>123</v>
      </c>
      <c r="C13" s="18"/>
      <c r="D13" s="18"/>
      <c r="E13" s="18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13.5">
      <c r="A14" s="19"/>
      <c r="B14" s="15" t="s">
        <v>124</v>
      </c>
      <c r="C14" s="15"/>
      <c r="D14" s="15"/>
      <c r="E14" s="15"/>
      <c r="F14" s="15"/>
      <c r="G14" s="15"/>
      <c r="H14" s="15">
        <v>23715</v>
      </c>
      <c r="I14" s="15">
        <v>22729</v>
      </c>
      <c r="J14" s="15"/>
      <c r="K14" s="15">
        <v>21316</v>
      </c>
      <c r="L14" s="15">
        <v>21324</v>
      </c>
      <c r="M14" s="15"/>
      <c r="N14" s="15">
        <v>21324</v>
      </c>
      <c r="O14" s="15">
        <v>21323</v>
      </c>
      <c r="P14" s="15"/>
      <c r="Q14" s="15">
        <f aca="true" t="shared" si="0" ref="Q14:R17">N14-K14</f>
        <v>8</v>
      </c>
      <c r="R14" s="15">
        <f t="shared" si="0"/>
        <v>-1</v>
      </c>
    </row>
    <row r="15" spans="1:18" ht="13.5">
      <c r="A15" s="20"/>
      <c r="B15" s="15" t="s">
        <v>125</v>
      </c>
      <c r="C15" s="15"/>
      <c r="D15" s="15"/>
      <c r="E15" s="15"/>
      <c r="F15" s="15"/>
      <c r="G15" s="15"/>
      <c r="H15" s="15">
        <v>9830</v>
      </c>
      <c r="I15" s="15">
        <v>9658</v>
      </c>
      <c r="J15" s="15"/>
      <c r="K15" s="15">
        <v>9247</v>
      </c>
      <c r="L15" s="15">
        <v>9082</v>
      </c>
      <c r="M15" s="15"/>
      <c r="N15" s="15">
        <v>9247</v>
      </c>
      <c r="O15" s="15">
        <v>9073</v>
      </c>
      <c r="P15" s="15"/>
      <c r="Q15" s="15">
        <f t="shared" si="0"/>
        <v>0</v>
      </c>
      <c r="R15" s="15">
        <f t="shared" si="0"/>
        <v>-9</v>
      </c>
    </row>
    <row r="16" spans="1:18" ht="13.5">
      <c r="A16" s="19"/>
      <c r="B16" s="15" t="s">
        <v>126</v>
      </c>
      <c r="C16" s="15"/>
      <c r="D16" s="15"/>
      <c r="E16" s="15"/>
      <c r="F16" s="15"/>
      <c r="G16" s="15"/>
      <c r="H16" s="15">
        <v>5126</v>
      </c>
      <c r="I16" s="15">
        <v>5035</v>
      </c>
      <c r="J16" s="15"/>
      <c r="K16" s="15">
        <v>5130</v>
      </c>
      <c r="L16" s="15">
        <v>4945</v>
      </c>
      <c r="M16" s="15"/>
      <c r="N16" s="15">
        <v>5122</v>
      </c>
      <c r="O16" s="15">
        <v>4937</v>
      </c>
      <c r="P16" s="15"/>
      <c r="Q16" s="15">
        <f t="shared" si="0"/>
        <v>-8</v>
      </c>
      <c r="R16" s="15">
        <f t="shared" si="0"/>
        <v>-8</v>
      </c>
    </row>
    <row r="17" spans="1:18" ht="13.5">
      <c r="A17" s="19"/>
      <c r="B17" s="15" t="s">
        <v>59</v>
      </c>
      <c r="C17" s="15"/>
      <c r="D17" s="15"/>
      <c r="E17" s="15"/>
      <c r="F17" s="20"/>
      <c r="G17" s="20"/>
      <c r="H17" s="15">
        <v>292</v>
      </c>
      <c r="I17" s="15">
        <v>292</v>
      </c>
      <c r="J17" s="20"/>
      <c r="K17" s="15">
        <v>297</v>
      </c>
      <c r="L17" s="15">
        <v>297</v>
      </c>
      <c r="M17" s="20"/>
      <c r="N17" s="15">
        <v>297</v>
      </c>
      <c r="O17" s="15">
        <v>297</v>
      </c>
      <c r="P17" s="20"/>
      <c r="Q17" s="15">
        <f t="shared" si="0"/>
        <v>0</v>
      </c>
      <c r="R17" s="15">
        <f t="shared" si="0"/>
        <v>0</v>
      </c>
    </row>
    <row r="18" spans="1:18" ht="13.5">
      <c r="A18" s="15"/>
      <c r="B18" s="15"/>
      <c r="C18" s="15" t="s">
        <v>127</v>
      </c>
      <c r="D18" s="15"/>
      <c r="E18" s="15"/>
      <c r="F18" s="15"/>
      <c r="G18" s="15"/>
      <c r="H18" s="15">
        <v>38963</v>
      </c>
      <c r="I18" s="15">
        <v>37714</v>
      </c>
      <c r="J18" s="15"/>
      <c r="K18" s="15">
        <v>35990</v>
      </c>
      <c r="L18" s="15">
        <v>35648</v>
      </c>
      <c r="M18" s="15"/>
      <c r="N18" s="15">
        <v>35990</v>
      </c>
      <c r="O18" s="15">
        <v>35630</v>
      </c>
      <c r="P18" s="15"/>
      <c r="Q18" s="15">
        <f>SUM(Q14:Q17)</f>
        <v>0</v>
      </c>
      <c r="R18" s="15">
        <f>SUM(R14:R17)</f>
        <v>-18</v>
      </c>
    </row>
    <row r="19" spans="1:18" ht="13.5">
      <c r="A19" s="20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ht="13.5">
      <c r="A20" s="18" t="s">
        <v>128</v>
      </c>
      <c r="B20" s="18" t="s">
        <v>129</v>
      </c>
      <c r="C20" s="18"/>
      <c r="D20" s="18"/>
      <c r="E20" s="18"/>
      <c r="F20" s="18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ht="13.5">
      <c r="A21" s="19"/>
      <c r="B21" s="15" t="s">
        <v>124</v>
      </c>
      <c r="C21" s="15"/>
      <c r="D21" s="15"/>
      <c r="E21" s="15"/>
      <c r="F21" s="15"/>
      <c r="G21" s="15"/>
      <c r="H21" s="15">
        <v>312</v>
      </c>
      <c r="I21" s="15">
        <v>305</v>
      </c>
      <c r="J21" s="15"/>
      <c r="K21" s="15">
        <v>288</v>
      </c>
      <c r="L21" s="15">
        <v>288</v>
      </c>
      <c r="M21" s="15"/>
      <c r="N21" s="15">
        <v>283</v>
      </c>
      <c r="O21" s="15">
        <v>283</v>
      </c>
      <c r="P21" s="15"/>
      <c r="Q21" s="15">
        <f aca="true" t="shared" si="1" ref="Q21:R24">N21-K21</f>
        <v>-5</v>
      </c>
      <c r="R21" s="15">
        <f t="shared" si="1"/>
        <v>-5</v>
      </c>
    </row>
    <row r="22" spans="1:18" ht="13.5">
      <c r="A22" s="19"/>
      <c r="B22" s="15" t="s">
        <v>125</v>
      </c>
      <c r="C22" s="15"/>
      <c r="D22" s="15"/>
      <c r="E22" s="15"/>
      <c r="F22" s="15"/>
      <c r="G22" s="15"/>
      <c r="H22" s="15">
        <v>274</v>
      </c>
      <c r="I22" s="15">
        <v>185</v>
      </c>
      <c r="J22" s="15"/>
      <c r="K22" s="15">
        <v>175</v>
      </c>
      <c r="L22" s="15">
        <v>175</v>
      </c>
      <c r="M22" s="15"/>
      <c r="N22" s="15">
        <v>175</v>
      </c>
      <c r="O22" s="15">
        <v>175</v>
      </c>
      <c r="P22" s="15"/>
      <c r="Q22" s="15">
        <f t="shared" si="1"/>
        <v>0</v>
      </c>
      <c r="R22" s="15">
        <f t="shared" si="1"/>
        <v>0</v>
      </c>
    </row>
    <row r="23" spans="1:18" ht="13.5">
      <c r="A23" s="20"/>
      <c r="B23" s="15" t="s">
        <v>126</v>
      </c>
      <c r="C23" s="15"/>
      <c r="D23" s="15"/>
      <c r="E23" s="15"/>
      <c r="F23" s="20"/>
      <c r="G23" s="15"/>
      <c r="H23" s="15">
        <v>94</v>
      </c>
      <c r="I23" s="15">
        <v>96</v>
      </c>
      <c r="J23" s="15"/>
      <c r="K23" s="15">
        <v>89</v>
      </c>
      <c r="L23" s="15">
        <v>89</v>
      </c>
      <c r="M23" s="15"/>
      <c r="N23" s="15">
        <v>89</v>
      </c>
      <c r="O23" s="15">
        <v>89</v>
      </c>
      <c r="P23" s="15"/>
      <c r="Q23" s="15">
        <f t="shared" si="1"/>
        <v>0</v>
      </c>
      <c r="R23" s="15">
        <f t="shared" si="1"/>
        <v>0</v>
      </c>
    </row>
    <row r="24" spans="1:18" ht="13.5">
      <c r="A24" s="15"/>
      <c r="B24" s="15" t="s">
        <v>59</v>
      </c>
      <c r="C24" s="15"/>
      <c r="D24" s="15"/>
      <c r="E24" s="15"/>
      <c r="F24" s="20"/>
      <c r="G24" s="20"/>
      <c r="H24" s="15">
        <v>0</v>
      </c>
      <c r="I24" s="15">
        <v>0</v>
      </c>
      <c r="J24" s="20"/>
      <c r="K24" s="15">
        <v>0</v>
      </c>
      <c r="L24" s="15">
        <v>0</v>
      </c>
      <c r="M24" s="20"/>
      <c r="N24" s="15">
        <v>0</v>
      </c>
      <c r="O24" s="15">
        <v>0</v>
      </c>
      <c r="P24" s="20"/>
      <c r="Q24" s="15">
        <f t="shared" si="1"/>
        <v>0</v>
      </c>
      <c r="R24" s="15">
        <f t="shared" si="1"/>
        <v>0</v>
      </c>
    </row>
    <row r="25" spans="1:18" ht="13.5">
      <c r="A25" s="15"/>
      <c r="B25" s="15"/>
      <c r="C25" s="15" t="s">
        <v>127</v>
      </c>
      <c r="D25" s="15"/>
      <c r="E25" s="15"/>
      <c r="F25" s="15"/>
      <c r="G25" s="15"/>
      <c r="H25" s="15">
        <v>680</v>
      </c>
      <c r="I25" s="15">
        <v>586</v>
      </c>
      <c r="J25" s="15"/>
      <c r="K25" s="15">
        <v>552</v>
      </c>
      <c r="L25" s="15">
        <v>552</v>
      </c>
      <c r="M25" s="15"/>
      <c r="N25" s="15">
        <v>547</v>
      </c>
      <c r="O25" s="15">
        <v>547</v>
      </c>
      <c r="P25" s="15"/>
      <c r="Q25" s="15">
        <f>SUM(Q21:Q24)</f>
        <v>-5</v>
      </c>
      <c r="R25" s="15">
        <f>SUM(R21:R24)</f>
        <v>-5</v>
      </c>
    </row>
    <row r="26" spans="1:18" ht="13.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3.5">
      <c r="A27" s="18" t="s">
        <v>130</v>
      </c>
      <c r="B27" s="18" t="s">
        <v>131</v>
      </c>
      <c r="C27" s="18"/>
      <c r="D27" s="18"/>
      <c r="E27" s="18"/>
      <c r="F27" s="18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13.5">
      <c r="A28" s="15"/>
      <c r="B28" s="15" t="s">
        <v>124</v>
      </c>
      <c r="C28" s="15"/>
      <c r="D28" s="15"/>
      <c r="E28" s="15"/>
      <c r="F28" s="15"/>
      <c r="G28" s="15"/>
      <c r="H28" s="15">
        <v>878</v>
      </c>
      <c r="I28" s="15">
        <v>852</v>
      </c>
      <c r="J28" s="15"/>
      <c r="K28" s="15">
        <v>1010</v>
      </c>
      <c r="L28" s="15">
        <v>1012</v>
      </c>
      <c r="M28" s="15"/>
      <c r="N28" s="15">
        <v>998</v>
      </c>
      <c r="O28" s="15">
        <v>998</v>
      </c>
      <c r="P28" s="15"/>
      <c r="Q28" s="15">
        <f aca="true" t="shared" si="2" ref="Q28:R31">N28-K28</f>
        <v>-12</v>
      </c>
      <c r="R28" s="15">
        <f t="shared" si="2"/>
        <v>-14</v>
      </c>
    </row>
    <row r="29" spans="1:18" ht="13.5">
      <c r="A29" s="15"/>
      <c r="B29" s="15" t="s">
        <v>125</v>
      </c>
      <c r="C29" s="15"/>
      <c r="D29" s="15"/>
      <c r="E29" s="15"/>
      <c r="F29" s="15"/>
      <c r="G29" s="15"/>
      <c r="H29" s="15">
        <v>440</v>
      </c>
      <c r="I29" s="15">
        <v>445</v>
      </c>
      <c r="J29" s="15"/>
      <c r="K29" s="15">
        <v>443</v>
      </c>
      <c r="L29" s="15">
        <v>420</v>
      </c>
      <c r="M29" s="15"/>
      <c r="N29" s="15">
        <v>443</v>
      </c>
      <c r="O29" s="15">
        <v>420</v>
      </c>
      <c r="P29" s="15"/>
      <c r="Q29" s="15">
        <f t="shared" si="2"/>
        <v>0</v>
      </c>
      <c r="R29" s="15">
        <f t="shared" si="2"/>
        <v>0</v>
      </c>
    </row>
    <row r="30" spans="1:18" ht="13.5">
      <c r="A30" s="20"/>
      <c r="B30" s="15" t="s">
        <v>126</v>
      </c>
      <c r="C30" s="15"/>
      <c r="D30" s="15"/>
      <c r="E30" s="15"/>
      <c r="F30" s="15"/>
      <c r="G30" s="15"/>
      <c r="H30" s="15">
        <v>228</v>
      </c>
      <c r="I30" s="15">
        <v>234</v>
      </c>
      <c r="J30" s="15"/>
      <c r="K30" s="15">
        <v>246</v>
      </c>
      <c r="L30" s="15">
        <v>242</v>
      </c>
      <c r="M30" s="15"/>
      <c r="N30" s="15">
        <v>246</v>
      </c>
      <c r="O30" s="15">
        <v>242</v>
      </c>
      <c r="P30" s="15"/>
      <c r="Q30" s="15">
        <f t="shared" si="2"/>
        <v>0</v>
      </c>
      <c r="R30" s="15">
        <f t="shared" si="2"/>
        <v>0</v>
      </c>
    </row>
    <row r="31" spans="1:18" ht="13.5">
      <c r="A31" s="20"/>
      <c r="B31" s="15" t="s">
        <v>59</v>
      </c>
      <c r="C31" s="15"/>
      <c r="D31" s="15"/>
      <c r="E31" s="15"/>
      <c r="F31" s="20"/>
      <c r="G31" s="20"/>
      <c r="H31" s="15">
        <v>0</v>
      </c>
      <c r="I31" s="15">
        <v>0</v>
      </c>
      <c r="J31" s="20"/>
      <c r="K31" s="15">
        <v>0</v>
      </c>
      <c r="L31" s="15">
        <v>0</v>
      </c>
      <c r="M31" s="20"/>
      <c r="N31" s="15">
        <v>0</v>
      </c>
      <c r="O31" s="15">
        <v>0</v>
      </c>
      <c r="P31" s="20"/>
      <c r="Q31" s="15">
        <f t="shared" si="2"/>
        <v>0</v>
      </c>
      <c r="R31" s="15">
        <f t="shared" si="2"/>
        <v>0</v>
      </c>
    </row>
    <row r="32" spans="1:18" ht="13.5">
      <c r="A32" s="19"/>
      <c r="B32" s="15"/>
      <c r="C32" s="15" t="s">
        <v>127</v>
      </c>
      <c r="D32" s="15"/>
      <c r="E32" s="15"/>
      <c r="F32" s="15"/>
      <c r="G32" s="15"/>
      <c r="H32" s="15">
        <v>1546</v>
      </c>
      <c r="I32" s="15">
        <v>1531</v>
      </c>
      <c r="J32" s="15"/>
      <c r="K32" s="15">
        <v>1699</v>
      </c>
      <c r="L32" s="15">
        <v>1674</v>
      </c>
      <c r="M32" s="15"/>
      <c r="N32" s="15">
        <v>1687</v>
      </c>
      <c r="O32" s="15">
        <v>1660</v>
      </c>
      <c r="P32" s="15"/>
      <c r="Q32" s="15">
        <f>SUM(Q28:Q31)</f>
        <v>-12</v>
      </c>
      <c r="R32" s="15">
        <f>SUM(R28:R31)</f>
        <v>-14</v>
      </c>
    </row>
    <row r="33" spans="1:18" ht="13.5">
      <c r="A33" s="20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3.5">
      <c r="A34" s="18" t="s">
        <v>132</v>
      </c>
      <c r="B34" s="18" t="s">
        <v>133</v>
      </c>
      <c r="C34" s="18"/>
      <c r="D34" s="18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3.5">
      <c r="A35" s="19"/>
      <c r="B35" s="15" t="s">
        <v>124</v>
      </c>
      <c r="C35" s="15"/>
      <c r="D35" s="15"/>
      <c r="E35" s="15"/>
      <c r="F35" s="15"/>
      <c r="G35" s="15"/>
      <c r="H35" s="15">
        <v>24905</v>
      </c>
      <c r="I35" s="15">
        <v>23886</v>
      </c>
      <c r="J35" s="15"/>
      <c r="K35" s="15">
        <v>22614</v>
      </c>
      <c r="L35" s="15">
        <v>22624</v>
      </c>
      <c r="M35" s="15"/>
      <c r="N35" s="15">
        <v>22605</v>
      </c>
      <c r="O35" s="15">
        <v>22604</v>
      </c>
      <c r="P35" s="15"/>
      <c r="Q35" s="15">
        <f aca="true" t="shared" si="3" ref="Q35:R38">N35-K35</f>
        <v>-9</v>
      </c>
      <c r="R35" s="15">
        <f t="shared" si="3"/>
        <v>-20</v>
      </c>
    </row>
    <row r="36" spans="1:18" ht="13.5">
      <c r="A36" s="15"/>
      <c r="B36" s="15" t="s">
        <v>125</v>
      </c>
      <c r="C36" s="15"/>
      <c r="D36" s="15"/>
      <c r="E36" s="15"/>
      <c r="F36" s="15"/>
      <c r="G36" s="15"/>
      <c r="H36" s="15">
        <v>10544</v>
      </c>
      <c r="I36" s="15">
        <v>10288</v>
      </c>
      <c r="J36" s="15"/>
      <c r="K36" s="15">
        <v>9865</v>
      </c>
      <c r="L36" s="15">
        <v>9677</v>
      </c>
      <c r="M36" s="15"/>
      <c r="N36" s="15">
        <v>9865</v>
      </c>
      <c r="O36" s="15">
        <v>9668</v>
      </c>
      <c r="P36" s="15"/>
      <c r="Q36" s="15">
        <f t="shared" si="3"/>
        <v>0</v>
      </c>
      <c r="R36" s="15">
        <f t="shared" si="3"/>
        <v>-9</v>
      </c>
    </row>
    <row r="37" spans="1:18" ht="13.5">
      <c r="A37" s="20"/>
      <c r="B37" s="15" t="s">
        <v>126</v>
      </c>
      <c r="C37" s="15"/>
      <c r="D37" s="15"/>
      <c r="E37" s="15"/>
      <c r="F37" s="15"/>
      <c r="G37" s="15"/>
      <c r="H37" s="15">
        <v>5448</v>
      </c>
      <c r="I37" s="15">
        <v>5365</v>
      </c>
      <c r="J37" s="15"/>
      <c r="K37" s="15">
        <v>5465</v>
      </c>
      <c r="L37" s="15">
        <v>5276</v>
      </c>
      <c r="M37" s="15"/>
      <c r="N37" s="15">
        <v>5457</v>
      </c>
      <c r="O37" s="15">
        <v>5268</v>
      </c>
      <c r="P37" s="15"/>
      <c r="Q37" s="15">
        <f t="shared" si="3"/>
        <v>-8</v>
      </c>
      <c r="R37" s="15">
        <f t="shared" si="3"/>
        <v>-8</v>
      </c>
    </row>
    <row r="38" spans="1:18" ht="13.5">
      <c r="A38" s="20"/>
      <c r="B38" s="15" t="s">
        <v>59</v>
      </c>
      <c r="C38" s="15"/>
      <c r="D38" s="15"/>
      <c r="E38" s="15"/>
      <c r="F38" s="20"/>
      <c r="G38" s="20"/>
      <c r="H38" s="15">
        <v>292</v>
      </c>
      <c r="I38" s="15">
        <v>292</v>
      </c>
      <c r="J38" s="15"/>
      <c r="K38" s="15">
        <v>297</v>
      </c>
      <c r="L38" s="15">
        <v>297</v>
      </c>
      <c r="M38" s="15"/>
      <c r="N38" s="15">
        <v>297</v>
      </c>
      <c r="O38" s="15">
        <v>297</v>
      </c>
      <c r="P38" s="15"/>
      <c r="Q38" s="15">
        <f t="shared" si="3"/>
        <v>0</v>
      </c>
      <c r="R38" s="15">
        <f t="shared" si="3"/>
        <v>0</v>
      </c>
    </row>
    <row r="39" spans="1:18" ht="13.5">
      <c r="A39" s="19"/>
      <c r="B39" s="15"/>
      <c r="C39" s="15" t="s">
        <v>150</v>
      </c>
      <c r="D39" s="15"/>
      <c r="E39" s="15"/>
      <c r="F39" s="15"/>
      <c r="G39" s="15"/>
      <c r="H39" s="15">
        <v>41189</v>
      </c>
      <c r="I39" s="15">
        <v>39831</v>
      </c>
      <c r="J39" s="15"/>
      <c r="K39" s="15">
        <v>38241</v>
      </c>
      <c r="L39" s="15">
        <v>37874</v>
      </c>
      <c r="M39" s="15"/>
      <c r="N39" s="15">
        <v>38224</v>
      </c>
      <c r="O39" s="15">
        <v>37837</v>
      </c>
      <c r="P39" s="15"/>
      <c r="Q39" s="15">
        <f>SUM(Q35:Q38)</f>
        <v>-17</v>
      </c>
      <c r="R39" s="15">
        <f>SUM(R35:R38)</f>
        <v>-37</v>
      </c>
    </row>
    <row r="40" spans="1:18" ht="13.5">
      <c r="A40" s="19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3.5">
      <c r="A41" s="18" t="s">
        <v>134</v>
      </c>
      <c r="B41" s="18" t="s">
        <v>135</v>
      </c>
      <c r="C41" s="18"/>
      <c r="D41" s="18"/>
      <c r="E41" s="15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15"/>
      <c r="Q41" s="15"/>
      <c r="R41" s="15"/>
    </row>
    <row r="42" spans="1:18" ht="13.5">
      <c r="A42" s="15"/>
      <c r="B42" s="15" t="s">
        <v>136</v>
      </c>
      <c r="C42" s="15"/>
      <c r="D42" s="15"/>
      <c r="E42" s="15"/>
      <c r="F42" s="15"/>
      <c r="G42" s="15"/>
      <c r="H42" s="15">
        <v>38963</v>
      </c>
      <c r="I42" s="15">
        <v>37714</v>
      </c>
      <c r="J42" s="15"/>
      <c r="K42" s="15">
        <v>35990</v>
      </c>
      <c r="L42" s="15">
        <v>35648</v>
      </c>
      <c r="M42" s="15"/>
      <c r="N42" s="15">
        <v>35990</v>
      </c>
      <c r="O42" s="15">
        <v>35630</v>
      </c>
      <c r="P42" s="15"/>
      <c r="Q42" s="15">
        <f aca="true" t="shared" si="4" ref="Q42:R44">N42-K42</f>
        <v>0</v>
      </c>
      <c r="R42" s="15">
        <f t="shared" si="4"/>
        <v>-18</v>
      </c>
    </row>
    <row r="43" spans="1:18" ht="13.5">
      <c r="A43" s="15"/>
      <c r="B43" s="15" t="s">
        <v>137</v>
      </c>
      <c r="C43" s="15"/>
      <c r="D43" s="15"/>
      <c r="E43" s="15"/>
      <c r="F43" s="15"/>
      <c r="G43" s="15"/>
      <c r="H43" s="15">
        <v>680</v>
      </c>
      <c r="I43" s="15">
        <v>586</v>
      </c>
      <c r="J43" s="15"/>
      <c r="K43" s="15">
        <v>552</v>
      </c>
      <c r="L43" s="15">
        <v>552</v>
      </c>
      <c r="M43" s="15"/>
      <c r="N43" s="15">
        <v>547</v>
      </c>
      <c r="O43" s="15">
        <v>547</v>
      </c>
      <c r="P43" s="15"/>
      <c r="Q43" s="15">
        <f t="shared" si="4"/>
        <v>-5</v>
      </c>
      <c r="R43" s="15">
        <f t="shared" si="4"/>
        <v>-5</v>
      </c>
    </row>
    <row r="44" spans="1:18" ht="13.5">
      <c r="A44" s="15"/>
      <c r="B44" s="15" t="s">
        <v>138</v>
      </c>
      <c r="C44" s="15"/>
      <c r="D44" s="15"/>
      <c r="E44" s="15"/>
      <c r="F44" s="20"/>
      <c r="G44" s="20"/>
      <c r="H44" s="20">
        <v>1546</v>
      </c>
      <c r="I44" s="20">
        <v>1531</v>
      </c>
      <c r="J44" s="15"/>
      <c r="K44" s="20">
        <v>1699</v>
      </c>
      <c r="L44" s="20">
        <v>1674</v>
      </c>
      <c r="M44" s="15"/>
      <c r="N44" s="20">
        <v>1687</v>
      </c>
      <c r="O44" s="20">
        <v>1660</v>
      </c>
      <c r="P44" s="15"/>
      <c r="Q44" s="15">
        <f t="shared" si="4"/>
        <v>-12</v>
      </c>
      <c r="R44" s="15">
        <f t="shared" si="4"/>
        <v>-14</v>
      </c>
    </row>
    <row r="45" spans="1:18" ht="13.5">
      <c r="A45" s="20"/>
      <c r="B45" s="15"/>
      <c r="C45" s="15" t="s">
        <v>149</v>
      </c>
      <c r="D45" s="15"/>
      <c r="E45" s="15"/>
      <c r="F45" s="15"/>
      <c r="G45" s="15"/>
      <c r="H45" s="15">
        <v>41189</v>
      </c>
      <c r="I45" s="15">
        <v>39831</v>
      </c>
      <c r="J45" s="15"/>
      <c r="K45" s="15">
        <v>38241</v>
      </c>
      <c r="L45" s="15">
        <v>37874</v>
      </c>
      <c r="M45" s="15"/>
      <c r="N45" s="15">
        <v>38224</v>
      </c>
      <c r="O45" s="15">
        <v>37837</v>
      </c>
      <c r="P45" s="15"/>
      <c r="Q45" s="15">
        <f>SUM(Q42:Q44)</f>
        <v>-17</v>
      </c>
      <c r="R45" s="15">
        <f>SUM(R42:R44)</f>
        <v>-37</v>
      </c>
    </row>
    <row r="46" spans="1:18" ht="13.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3.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3.5">
      <c r="A48" s="23" t="s">
        <v>148</v>
      </c>
      <c r="B48" s="15"/>
      <c r="C48" s="15"/>
      <c r="D48" s="15"/>
      <c r="E48" s="15"/>
      <c r="F48" s="15"/>
      <c r="G48" s="15"/>
      <c r="H48" s="15">
        <v>807</v>
      </c>
      <c r="I48" s="15">
        <v>808</v>
      </c>
      <c r="J48" s="15"/>
      <c r="K48" s="15">
        <v>839</v>
      </c>
      <c r="L48" s="15">
        <v>848</v>
      </c>
      <c r="M48" s="15"/>
      <c r="N48" s="15">
        <v>839</v>
      </c>
      <c r="O48" s="15">
        <v>844</v>
      </c>
      <c r="P48" s="15"/>
      <c r="Q48" s="15">
        <f>N48-K48</f>
        <v>0</v>
      </c>
      <c r="R48" s="15">
        <f>O48-L48</f>
        <v>-4</v>
      </c>
    </row>
    <row r="49" ht="12.75">
      <c r="A49" s="6"/>
    </row>
    <row r="50" ht="12.75">
      <c r="A50" s="6"/>
    </row>
    <row r="51" spans="1:14" ht="12.75">
      <c r="A51" s="6"/>
      <c r="G51" s="5"/>
      <c r="H51" s="5"/>
      <c r="I51" s="5"/>
      <c r="J51" s="5"/>
      <c r="K51" s="5"/>
      <c r="L51" s="5"/>
      <c r="M51" s="5"/>
      <c r="N51" s="5"/>
    </row>
    <row r="52" ht="12.75">
      <c r="A52" s="5"/>
    </row>
    <row r="53" ht="12.75">
      <c r="A53" s="5"/>
    </row>
    <row r="54" ht="12.75">
      <c r="A54" s="5"/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spans="1:14" ht="12.75">
      <c r="A66" s="6"/>
      <c r="J66" s="2"/>
      <c r="K66" s="4"/>
      <c r="L66" s="2"/>
      <c r="N66" s="2"/>
    </row>
    <row r="67" spans="1:14" ht="12.75">
      <c r="A67" s="6"/>
      <c r="J67" s="2"/>
      <c r="K67" s="4"/>
      <c r="L67" s="2"/>
      <c r="N67" s="2"/>
    </row>
    <row r="68" spans="1:14" ht="12.75">
      <c r="A68" s="6"/>
      <c r="G68" s="5"/>
      <c r="H68" s="5"/>
      <c r="I68" s="5"/>
      <c r="J68" s="7"/>
      <c r="K68" s="8"/>
      <c r="L68" s="7"/>
      <c r="M68" s="5"/>
      <c r="N68" s="7"/>
    </row>
    <row r="69" spans="10:14" ht="12.75">
      <c r="J69" s="2"/>
      <c r="K69" s="4"/>
      <c r="L69" s="2"/>
      <c r="N69" s="2"/>
    </row>
    <row r="71" spans="10:14" ht="12.75">
      <c r="J71" s="2"/>
      <c r="K71" s="4"/>
      <c r="L71" s="2"/>
      <c r="N71" s="2"/>
    </row>
  </sheetData>
  <mergeCells count="10">
    <mergeCell ref="A1:W1"/>
    <mergeCell ref="A2:W2"/>
    <mergeCell ref="A3:W3"/>
    <mergeCell ref="A4:W4"/>
    <mergeCell ref="A6:W6"/>
    <mergeCell ref="A7:W7"/>
    <mergeCell ref="N9:O9"/>
    <mergeCell ref="Q9:R9"/>
    <mergeCell ref="H9:I9"/>
    <mergeCell ref="K9:L9"/>
  </mergeCells>
  <printOptions horizontalCentered="1"/>
  <pageMargins left="0.8" right="0.8" top="1" bottom="1.3" header="0.8" footer="0.8"/>
  <pageSetup firstPageNumber="2" useFirstPageNumber="1" fitToHeight="1" fitToWidth="1" horizontalDpi="600" verticalDpi="600" orientation="landscape" scale="70" r:id="rId1"/>
  <headerFooter alignWithMargins="0">
    <oddFooter xml:space="preserve">&amp;R&amp;"Courier New,Regular"&amp;12Exhibit PB-11A Defense Health Program Personnel Summary
(Page &amp;P of 3)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view="pageBreakPreview" zoomScale="60" zoomScaleNormal="50" workbookViewId="0" topLeftCell="A1">
      <selection activeCell="F16" sqref="F16:H17"/>
    </sheetView>
  </sheetViews>
  <sheetFormatPr defaultColWidth="9.140625" defaultRowHeight="12.75"/>
  <cols>
    <col min="1" max="1" width="2.7109375" style="3" customWidth="1"/>
    <col min="2" max="2" width="3.7109375" style="3" customWidth="1"/>
    <col min="3" max="4" width="9.140625" style="3" customWidth="1"/>
    <col min="5" max="5" width="22.28125" style="3" customWidth="1"/>
    <col min="6" max="6" width="9.421875" style="3" bestFit="1" customWidth="1"/>
    <col min="7" max="7" width="10.140625" style="3" bestFit="1" customWidth="1"/>
    <col min="8" max="8" width="10.140625" style="3" customWidth="1"/>
    <col min="9" max="9" width="10.140625" style="3" bestFit="1" customWidth="1"/>
    <col min="10" max="10" width="6.00390625" style="3" customWidth="1"/>
    <col min="11" max="15" width="9.140625" style="3" customWidth="1"/>
    <col min="16" max="16" width="10.140625" style="3" bestFit="1" customWidth="1"/>
    <col min="17" max="16384" width="9.140625" style="3" customWidth="1"/>
  </cols>
  <sheetData>
    <row r="1" spans="1:26" s="45" customFormat="1" ht="15.75" customHeight="1">
      <c r="A1" s="102" t="s">
        <v>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48"/>
      <c r="R1" s="42"/>
      <c r="S1" s="42"/>
      <c r="T1" s="42"/>
      <c r="U1" s="42"/>
      <c r="V1" s="42"/>
      <c r="W1" s="42"/>
      <c r="X1" s="42"/>
      <c r="Y1" s="42"/>
      <c r="Z1" s="42"/>
    </row>
    <row r="2" spans="1:26" s="45" customFormat="1" ht="15.75" customHeight="1">
      <c r="A2" s="95" t="str">
        <f>'Personnel Summary - Mil'!A2:X2</f>
        <v>Fiscal Year 2003 Budget Estimate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48"/>
      <c r="R2" s="42"/>
      <c r="S2" s="42"/>
      <c r="T2" s="42"/>
      <c r="U2" s="42"/>
      <c r="V2" s="42"/>
      <c r="W2" s="42"/>
      <c r="X2" s="42"/>
      <c r="Y2" s="42"/>
      <c r="Z2" s="42"/>
    </row>
    <row r="3" spans="1:26" s="46" customFormat="1" ht="15.75" customHeight="1">
      <c r="A3" s="102" t="s">
        <v>242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48"/>
      <c r="R3" s="42"/>
      <c r="S3" s="42"/>
      <c r="T3" s="42"/>
      <c r="U3" s="42"/>
      <c r="V3" s="42"/>
      <c r="W3" s="42"/>
      <c r="X3" s="42"/>
      <c r="Y3" s="42"/>
      <c r="Z3" s="42"/>
    </row>
    <row r="4" spans="1:26" s="40" customFormat="1" ht="15.7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48"/>
      <c r="R4" s="42"/>
      <c r="S4" s="42"/>
      <c r="T4" s="42"/>
      <c r="U4" s="42"/>
      <c r="V4" s="42"/>
      <c r="W4" s="42"/>
      <c r="X4" s="42"/>
      <c r="Y4" s="42"/>
      <c r="Z4" s="42"/>
    </row>
    <row r="5" spans="1:17" s="40" customFormat="1" ht="15.75" customHeight="1">
      <c r="A5" s="48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26" s="46" customFormat="1" ht="15.75" customHeight="1">
      <c r="A6" s="102" t="s">
        <v>244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48"/>
      <c r="R6" s="42"/>
      <c r="S6" s="42"/>
      <c r="T6" s="42"/>
      <c r="U6" s="42"/>
      <c r="V6" s="42"/>
      <c r="W6" s="42"/>
      <c r="X6" s="42"/>
      <c r="Y6" s="42"/>
      <c r="Z6" s="42"/>
    </row>
    <row r="7" spans="1:26" s="46" customFormat="1" ht="15.75" customHeight="1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</row>
    <row r="8" spans="1:11" ht="13.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3" ht="13.5">
      <c r="A9" s="15"/>
      <c r="B9" s="15"/>
      <c r="C9" s="15"/>
      <c r="D9" s="15"/>
      <c r="E9" s="15"/>
      <c r="F9" s="15"/>
      <c r="G9" s="15"/>
      <c r="H9" s="15"/>
      <c r="I9" s="15"/>
      <c r="J9" s="105" t="s">
        <v>212</v>
      </c>
      <c r="K9" s="105"/>
      <c r="L9" s="105" t="s">
        <v>278</v>
      </c>
      <c r="M9" s="105"/>
    </row>
    <row r="10" spans="1:13" ht="13.5">
      <c r="A10" s="15"/>
      <c r="B10" s="15"/>
      <c r="C10" s="15"/>
      <c r="D10" s="15"/>
      <c r="E10" s="15"/>
      <c r="F10" s="16" t="s">
        <v>201</v>
      </c>
      <c r="G10" s="16" t="s">
        <v>211</v>
      </c>
      <c r="H10" s="16" t="s">
        <v>277</v>
      </c>
      <c r="I10" s="16"/>
      <c r="J10" s="103" t="s">
        <v>151</v>
      </c>
      <c r="K10" s="103"/>
      <c r="L10" s="103" t="s">
        <v>151</v>
      </c>
      <c r="M10" s="103"/>
    </row>
    <row r="11" spans="1:13" ht="13.5">
      <c r="A11" s="15"/>
      <c r="B11" s="15"/>
      <c r="C11" s="15"/>
      <c r="D11" s="15"/>
      <c r="E11" s="15"/>
      <c r="F11" s="17" t="s">
        <v>22</v>
      </c>
      <c r="G11" s="17" t="s">
        <v>23</v>
      </c>
      <c r="H11" s="17" t="s">
        <v>23</v>
      </c>
      <c r="I11" s="17"/>
      <c r="J11" s="100" t="s">
        <v>152</v>
      </c>
      <c r="K11" s="100"/>
      <c r="L11" s="100" t="s">
        <v>152</v>
      </c>
      <c r="M11" s="100"/>
    </row>
    <row r="12" spans="1:9" ht="13.5">
      <c r="A12" s="15"/>
      <c r="B12" s="15"/>
      <c r="C12" s="15"/>
      <c r="D12" s="15"/>
      <c r="E12" s="15"/>
      <c r="F12" s="17"/>
      <c r="G12" s="17"/>
      <c r="H12" s="17"/>
      <c r="I12" s="17"/>
    </row>
    <row r="13" spans="1:11" ht="13.5">
      <c r="A13" s="18" t="s">
        <v>139</v>
      </c>
      <c r="B13" s="22"/>
      <c r="C13" s="22"/>
      <c r="D13" s="22"/>
      <c r="E13" s="22"/>
      <c r="F13" s="15"/>
      <c r="G13" s="15"/>
      <c r="H13" s="15"/>
      <c r="I13" s="15"/>
      <c r="J13" s="15"/>
      <c r="K13" s="15"/>
    </row>
    <row r="14" spans="1:11" ht="13.5">
      <c r="A14" s="19"/>
      <c r="B14" s="15"/>
      <c r="C14" s="15"/>
      <c r="D14" s="15"/>
      <c r="E14" s="15"/>
      <c r="F14" s="15"/>
      <c r="G14" s="15"/>
      <c r="H14" s="15"/>
      <c r="I14" s="21"/>
      <c r="J14" s="15"/>
      <c r="K14" s="21"/>
    </row>
    <row r="15" spans="1:11" ht="13.5">
      <c r="A15" s="18" t="s">
        <v>140</v>
      </c>
      <c r="B15" s="18"/>
      <c r="C15" s="18"/>
      <c r="D15" s="18"/>
      <c r="E15" s="18"/>
      <c r="F15" s="15"/>
      <c r="G15" s="15"/>
      <c r="H15" s="15"/>
      <c r="I15" s="21"/>
      <c r="J15" s="15"/>
      <c r="K15" s="21"/>
    </row>
    <row r="16" spans="1:13" ht="13.5">
      <c r="A16" s="19"/>
      <c r="B16" s="15" t="s">
        <v>200</v>
      </c>
      <c r="C16" s="15"/>
      <c r="D16" s="15"/>
      <c r="E16" s="15"/>
      <c r="F16" s="15">
        <v>189</v>
      </c>
      <c r="G16" s="15">
        <v>189</v>
      </c>
      <c r="H16" s="15">
        <v>191</v>
      </c>
      <c r="I16" s="21"/>
      <c r="J16" s="15">
        <f>+G16-F16</f>
        <v>0</v>
      </c>
      <c r="K16" s="21"/>
      <c r="L16" s="15">
        <f>+H16-G16</f>
        <v>2</v>
      </c>
      <c r="M16" s="21"/>
    </row>
    <row r="17" spans="1:13" ht="13.5">
      <c r="A17" s="19"/>
      <c r="B17" s="15" t="s">
        <v>141</v>
      </c>
      <c r="C17" s="15"/>
      <c r="D17" s="15"/>
      <c r="E17" s="15"/>
      <c r="F17" s="15">
        <v>120</v>
      </c>
      <c r="G17" s="15">
        <v>133</v>
      </c>
      <c r="H17" s="15">
        <v>125</v>
      </c>
      <c r="I17" s="21"/>
      <c r="J17" s="15">
        <f>+G17-F17</f>
        <v>13</v>
      </c>
      <c r="K17" s="21"/>
      <c r="L17" s="15">
        <f>+H17-G17</f>
        <v>-8</v>
      </c>
      <c r="M17" s="21"/>
    </row>
    <row r="18" spans="10:12" ht="12.75">
      <c r="J18" s="2"/>
      <c r="L18" s="2"/>
    </row>
    <row r="19" ht="12.75">
      <c r="A19" s="5"/>
    </row>
    <row r="20" spans="10:12" ht="12.75">
      <c r="J20" s="2"/>
      <c r="L20" s="2"/>
    </row>
    <row r="21" spans="1:12" ht="12.75">
      <c r="A21" s="6"/>
      <c r="J21" s="2"/>
      <c r="L21" s="2"/>
    </row>
    <row r="22" spans="1:12" ht="12.75">
      <c r="A22" s="6"/>
      <c r="J22" s="2"/>
      <c r="L22" s="2"/>
    </row>
    <row r="23" spans="1:12" ht="12.75">
      <c r="A23" s="5"/>
      <c r="F23" s="5"/>
      <c r="G23" s="5"/>
      <c r="H23" s="5"/>
      <c r="J23" s="2"/>
      <c r="L23" s="2"/>
    </row>
    <row r="24" spans="6:12" ht="12.75">
      <c r="F24" s="5"/>
      <c r="G24" s="5"/>
      <c r="H24" s="5"/>
      <c r="J24" s="2"/>
      <c r="L24" s="2"/>
    </row>
    <row r="25" spans="10:12" ht="12.75">
      <c r="J25" s="2"/>
      <c r="L25" s="2"/>
    </row>
    <row r="28" spans="10:12" ht="12.75">
      <c r="J28" s="2"/>
      <c r="L28" s="2"/>
    </row>
    <row r="29" spans="10:12" ht="12.75">
      <c r="J29" s="2"/>
      <c r="L29" s="2"/>
    </row>
    <row r="30" spans="1:12" ht="12.75">
      <c r="A30" s="5"/>
      <c r="J30" s="2"/>
      <c r="L30" s="2"/>
    </row>
    <row r="31" spans="1:12" ht="12.75">
      <c r="A31" s="5"/>
      <c r="F31" s="5"/>
      <c r="G31" s="5"/>
      <c r="H31" s="5"/>
      <c r="J31" s="2"/>
      <c r="L31" s="2"/>
    </row>
    <row r="32" spans="1:12" ht="12.75">
      <c r="A32" s="6"/>
      <c r="J32" s="2"/>
      <c r="L32" s="2"/>
    </row>
    <row r="33" spans="1:12" ht="12.75">
      <c r="A33" s="5"/>
      <c r="J33" s="2"/>
      <c r="L33" s="2"/>
    </row>
    <row r="34" spans="10:12" ht="12.75">
      <c r="J34" s="2"/>
      <c r="L34" s="2"/>
    </row>
    <row r="35" spans="1:12" ht="12.75">
      <c r="A35" s="6"/>
      <c r="J35" s="2"/>
      <c r="L35" s="2"/>
    </row>
    <row r="36" spans="10:12" ht="12.75">
      <c r="J36" s="2"/>
      <c r="L36" s="2"/>
    </row>
    <row r="37" spans="1:12" ht="12.75">
      <c r="A37" s="5"/>
      <c r="J37" s="2"/>
      <c r="L37" s="2"/>
    </row>
    <row r="38" spans="1:12" ht="12.75">
      <c r="A38" s="5"/>
      <c r="F38" s="5"/>
      <c r="G38" s="5"/>
      <c r="H38" s="5"/>
      <c r="J38" s="2"/>
      <c r="L38" s="2"/>
    </row>
    <row r="39" spans="1:12" ht="12.75">
      <c r="A39" s="6"/>
      <c r="J39" s="2"/>
      <c r="L39" s="2"/>
    </row>
    <row r="40" spans="1:12" ht="12.75">
      <c r="A40" s="6"/>
      <c r="J40" s="2"/>
      <c r="L40" s="2"/>
    </row>
    <row r="41" spans="6:12" ht="12.75">
      <c r="F41" s="5"/>
      <c r="G41" s="5"/>
      <c r="H41" s="5"/>
      <c r="I41" s="5"/>
      <c r="J41" s="7"/>
      <c r="K41" s="5"/>
      <c r="L41" s="7"/>
    </row>
    <row r="42" spans="10:12" ht="12.75">
      <c r="J42" s="2"/>
      <c r="L42" s="2"/>
    </row>
    <row r="43" spans="10:12" ht="12.75">
      <c r="J43" s="2"/>
      <c r="L43" s="2"/>
    </row>
    <row r="44" spans="6:12" ht="12.75">
      <c r="F44" s="5"/>
      <c r="G44" s="5"/>
      <c r="H44" s="5"/>
      <c r="J44" s="2"/>
      <c r="L44" s="2"/>
    </row>
    <row r="45" spans="1:12" ht="12.75">
      <c r="A45" s="5"/>
      <c r="J45" s="2"/>
      <c r="L45" s="2"/>
    </row>
    <row r="46" spans="10:12" ht="12.75">
      <c r="J46" s="2"/>
      <c r="L46" s="2"/>
    </row>
    <row r="47" spans="10:12" ht="12.75">
      <c r="J47" s="2"/>
      <c r="L47" s="2"/>
    </row>
    <row r="48" ht="12.75">
      <c r="A48" s="5"/>
    </row>
    <row r="49" spans="1:13" ht="12.75">
      <c r="A49" s="6"/>
      <c r="K49" s="2"/>
      <c r="M49" s="2"/>
    </row>
    <row r="50" spans="1:13" ht="12.75">
      <c r="A50" s="6"/>
      <c r="K50" s="2"/>
      <c r="M50" s="2"/>
    </row>
    <row r="51" spans="1:13" ht="12.75">
      <c r="A51" s="6"/>
      <c r="F51" s="5"/>
      <c r="G51" s="5"/>
      <c r="H51" s="5"/>
      <c r="I51" s="5"/>
      <c r="J51" s="5"/>
      <c r="K51" s="7"/>
      <c r="L51" s="5"/>
      <c r="M51" s="7"/>
    </row>
    <row r="52" spans="1:13" ht="12.75">
      <c r="A52" s="5"/>
      <c r="K52" s="2"/>
      <c r="M52" s="2"/>
    </row>
    <row r="53" ht="12.75">
      <c r="A53" s="5"/>
    </row>
    <row r="54" ht="12.75">
      <c r="A54" s="5"/>
    </row>
    <row r="55" spans="1:13" ht="12.75">
      <c r="A55" s="6"/>
      <c r="K55" s="2"/>
      <c r="M55" s="2"/>
    </row>
    <row r="56" spans="1:13" ht="12.75">
      <c r="A56" s="6"/>
      <c r="K56" s="2"/>
      <c r="M56" s="2"/>
    </row>
    <row r="57" spans="1:13" ht="12.75">
      <c r="A57" s="6"/>
      <c r="K57" s="2"/>
      <c r="M57" s="2"/>
    </row>
    <row r="58" spans="1:13" ht="12.75">
      <c r="A58" s="6"/>
      <c r="K58" s="2"/>
      <c r="M58" s="2"/>
    </row>
    <row r="59" spans="1:13" ht="12.75">
      <c r="A59" s="6"/>
      <c r="K59" s="2"/>
      <c r="M59" s="2"/>
    </row>
    <row r="60" spans="1:13" ht="12.75">
      <c r="A60" s="6"/>
      <c r="K60" s="2"/>
      <c r="M60" s="2"/>
    </row>
    <row r="61" spans="1:13" ht="12.75">
      <c r="A61" s="6"/>
      <c r="K61" s="2"/>
      <c r="M61" s="2"/>
    </row>
    <row r="62" spans="1:13" ht="12.75">
      <c r="A62" s="6"/>
      <c r="K62" s="2"/>
      <c r="M62" s="2"/>
    </row>
    <row r="63" spans="1:13" ht="12.75">
      <c r="A63" s="6"/>
      <c r="K63" s="2"/>
      <c r="M63" s="2"/>
    </row>
    <row r="64" spans="1:13" ht="12.75">
      <c r="A64" s="6"/>
      <c r="K64" s="2"/>
      <c r="M64" s="2"/>
    </row>
    <row r="65" spans="1:13" ht="12.75">
      <c r="A65" s="6"/>
      <c r="K65" s="2"/>
      <c r="M65" s="2"/>
    </row>
    <row r="66" spans="1:13" ht="12.75">
      <c r="A66" s="6"/>
      <c r="K66" s="2"/>
      <c r="M66" s="2"/>
    </row>
    <row r="67" spans="1:13" ht="12.75">
      <c r="A67" s="6"/>
      <c r="K67" s="2"/>
      <c r="M67" s="2"/>
    </row>
    <row r="68" spans="1:13" ht="12.75">
      <c r="A68" s="6"/>
      <c r="F68" s="5"/>
      <c r="G68" s="5"/>
      <c r="H68" s="5"/>
      <c r="I68" s="5"/>
      <c r="J68" s="5"/>
      <c r="K68" s="7"/>
      <c r="L68" s="5"/>
      <c r="M68" s="7"/>
    </row>
    <row r="69" spans="11:13" ht="12.75">
      <c r="K69" s="2"/>
      <c r="M69" s="2"/>
    </row>
    <row r="71" spans="11:13" ht="12.75">
      <c r="K71" s="2"/>
      <c r="M71" s="2"/>
    </row>
  </sheetData>
  <mergeCells count="12">
    <mergeCell ref="J9:K9"/>
    <mergeCell ref="L9:M9"/>
    <mergeCell ref="L11:M11"/>
    <mergeCell ref="J10:K10"/>
    <mergeCell ref="J11:K11"/>
    <mergeCell ref="L10:M10"/>
    <mergeCell ref="A7:Z7"/>
    <mergeCell ref="A1:P1"/>
    <mergeCell ref="A2:P2"/>
    <mergeCell ref="A3:P3"/>
    <mergeCell ref="A4:P4"/>
    <mergeCell ref="A6:P6"/>
  </mergeCells>
  <printOptions horizontalCentered="1"/>
  <pageMargins left="0.8" right="0.8" top="1" bottom="1" header="0.8" footer="0.8"/>
  <pageSetup firstPageNumber="3" useFirstPageNumber="1" fitToHeight="1" fitToWidth="1" horizontalDpi="600" verticalDpi="600" orientation="landscape" scale="80" r:id="rId1"/>
  <headerFooter alignWithMargins="0">
    <oddFooter>&amp;R&amp;"Courier New,Regular"&amp;12Exhibit PB-11A Defense Health Program Personnel Summary
(Page &amp;P of 3)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48"/>
  <sheetViews>
    <sheetView tabSelected="1" view="pageBreakPreview" zoomScale="75" zoomScaleNormal="75" zoomScaleSheetLayoutView="75" workbookViewId="0" topLeftCell="A2">
      <selection activeCell="H141" sqref="H141"/>
    </sheetView>
  </sheetViews>
  <sheetFormatPr defaultColWidth="9.140625" defaultRowHeight="12.75"/>
  <cols>
    <col min="1" max="1" width="52.00390625" style="15" customWidth="1"/>
    <col min="2" max="2" width="3.00390625" style="15" customWidth="1"/>
    <col min="3" max="3" width="2.57421875" style="15" customWidth="1"/>
    <col min="4" max="4" width="0.2890625" style="15" customWidth="1"/>
    <col min="5" max="5" width="0.13671875" style="15" hidden="1" customWidth="1"/>
    <col min="6" max="9" width="14.7109375" style="15" customWidth="1"/>
    <col min="10" max="10" width="12.28125" style="15" customWidth="1"/>
    <col min="11" max="11" width="9.140625" style="60" customWidth="1"/>
    <col min="12" max="12" width="9.140625" style="15" customWidth="1"/>
    <col min="13" max="13" width="9.140625" style="60" customWidth="1"/>
    <col min="14" max="14" width="9.140625" style="15" customWidth="1"/>
    <col min="15" max="15" width="9.140625" style="60" customWidth="1"/>
    <col min="16" max="16384" width="9.140625" style="15" customWidth="1"/>
  </cols>
  <sheetData>
    <row r="1" spans="1:15" s="23" customFormat="1" ht="13.5">
      <c r="A1" s="96" t="s">
        <v>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O1" s="60"/>
    </row>
    <row r="2" spans="1:15" s="23" customFormat="1" ht="13.5">
      <c r="A2" s="96" t="str">
        <f>'Personnel Summary - Lead Agents'!A2:P2</f>
        <v>Fiscal Year 2003 Budget Estimate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O2" s="60"/>
    </row>
    <row r="3" spans="1:13" ht="13.5">
      <c r="A3" s="96" t="s">
        <v>202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5" spans="1:13" ht="13.5">
      <c r="A5" s="96" t="s">
        <v>144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5" ht="13.5">
      <c r="A6" s="14"/>
      <c r="B6" s="14"/>
      <c r="C6" s="14"/>
      <c r="D6" s="14"/>
      <c r="E6" s="14"/>
      <c r="F6" s="14"/>
      <c r="G6" s="14"/>
      <c r="H6" s="14"/>
      <c r="I6" s="14"/>
      <c r="J6" s="58"/>
      <c r="K6" s="14"/>
      <c r="L6" s="58"/>
      <c r="M6" s="15"/>
      <c r="O6" s="15"/>
    </row>
    <row r="7" spans="1:15" ht="13.5">
      <c r="A7" s="14"/>
      <c r="B7" s="14"/>
      <c r="C7" s="14"/>
      <c r="D7" s="14"/>
      <c r="E7" s="14"/>
      <c r="F7" s="14"/>
      <c r="G7" s="14"/>
      <c r="H7" s="14"/>
      <c r="I7" s="14"/>
      <c r="J7" s="58"/>
      <c r="K7" s="14"/>
      <c r="L7" s="58"/>
      <c r="M7" s="15"/>
      <c r="O7" s="15"/>
    </row>
    <row r="8" spans="1:15" ht="13.5">
      <c r="A8" s="14"/>
      <c r="B8" s="14"/>
      <c r="C8" s="14"/>
      <c r="D8" s="14"/>
      <c r="E8" s="14"/>
      <c r="F8" s="14"/>
      <c r="G8" s="14"/>
      <c r="H8" s="14"/>
      <c r="I8" s="14"/>
      <c r="J8" s="58"/>
      <c r="K8" s="14"/>
      <c r="L8" s="58"/>
      <c r="M8" s="15"/>
      <c r="O8" s="15"/>
    </row>
    <row r="9" spans="1:15" ht="13.5">
      <c r="A9" s="15" t="s">
        <v>282</v>
      </c>
      <c r="F9" s="16" t="str">
        <f>'Personnel Summary - Lead Agents'!F10</f>
        <v>FY 2001</v>
      </c>
      <c r="G9" s="16" t="str">
        <f>'Personnel Summary - Lead Agents'!G10</f>
        <v>FY 2002</v>
      </c>
      <c r="H9" s="16" t="str">
        <f>'Personnel Summary - Lead Agents'!H10</f>
        <v>FY 2003</v>
      </c>
      <c r="I9" s="97" t="s">
        <v>212</v>
      </c>
      <c r="J9" s="97"/>
      <c r="K9" s="97" t="s">
        <v>278</v>
      </c>
      <c r="L9" s="97"/>
      <c r="M9" s="15"/>
      <c r="O9" s="15"/>
    </row>
    <row r="10" spans="6:15" ht="13.5">
      <c r="F10" s="17" t="s">
        <v>22</v>
      </c>
      <c r="G10" s="17" t="s">
        <v>23</v>
      </c>
      <c r="H10" s="17" t="s">
        <v>23</v>
      </c>
      <c r="I10" s="17" t="s">
        <v>24</v>
      </c>
      <c r="J10" s="61" t="s">
        <v>25</v>
      </c>
      <c r="K10" s="17" t="s">
        <v>24</v>
      </c>
      <c r="L10" s="61" t="s">
        <v>25</v>
      </c>
      <c r="M10" s="15"/>
      <c r="O10" s="15"/>
    </row>
    <row r="11" spans="1:15" ht="13.5">
      <c r="A11" s="18" t="s">
        <v>142</v>
      </c>
      <c r="C11" s="15" t="s">
        <v>199</v>
      </c>
      <c r="F11" s="35"/>
      <c r="G11" s="35"/>
      <c r="H11" s="35"/>
      <c r="J11" s="60"/>
      <c r="K11" s="15"/>
      <c r="L11" s="60"/>
      <c r="M11" s="15"/>
      <c r="O11" s="15"/>
    </row>
    <row r="12" spans="1:15" ht="13.5">
      <c r="A12" s="15" t="s">
        <v>155</v>
      </c>
      <c r="F12" s="15">
        <v>1552060</v>
      </c>
      <c r="G12" s="15">
        <v>1552872</v>
      </c>
      <c r="H12" s="15">
        <v>1552666</v>
      </c>
      <c r="I12" s="15">
        <f>G12-F12</f>
        <v>812</v>
      </c>
      <c r="J12" s="60">
        <f aca="true" t="shared" si="0" ref="J12:J18">IF(F12=0,0,I12/F12)</f>
        <v>0.0005231756504258856</v>
      </c>
      <c r="K12" s="15">
        <f>H12-G12</f>
        <v>-206</v>
      </c>
      <c r="L12" s="60">
        <f aca="true" t="shared" si="1" ref="L12:L18">IF(G12=0,0,K12/G12)</f>
        <v>-0.00013265742443678552</v>
      </c>
      <c r="M12" s="15"/>
      <c r="O12" s="15"/>
    </row>
    <row r="13" spans="1:15" ht="13.5">
      <c r="A13" s="15" t="s">
        <v>156</v>
      </c>
      <c r="F13" s="15">
        <v>2137582</v>
      </c>
      <c r="G13" s="15">
        <v>2135867</v>
      </c>
      <c r="H13" s="15">
        <v>2136018</v>
      </c>
      <c r="I13" s="15">
        <f aca="true" t="shared" si="2" ref="I13:I18">G13-F13</f>
        <v>-1715</v>
      </c>
      <c r="J13" s="60">
        <f t="shared" si="0"/>
        <v>-0.0008023084026718039</v>
      </c>
      <c r="K13" s="15">
        <f aca="true" t="shared" si="3" ref="K13:K18">H13-G13</f>
        <v>151</v>
      </c>
      <c r="L13" s="60">
        <f t="shared" si="1"/>
        <v>7.069728592651134E-05</v>
      </c>
      <c r="M13" s="15"/>
      <c r="O13" s="15"/>
    </row>
    <row r="14" spans="1:15" ht="13.5">
      <c r="A14" s="15" t="s">
        <v>157</v>
      </c>
      <c r="F14" s="15">
        <v>1120225</v>
      </c>
      <c r="G14" s="15">
        <v>1104120</v>
      </c>
      <c r="H14" s="15">
        <v>1093741</v>
      </c>
      <c r="I14" s="15">
        <f t="shared" si="2"/>
        <v>-16105</v>
      </c>
      <c r="J14" s="60">
        <f t="shared" si="0"/>
        <v>-0.014376576134258743</v>
      </c>
      <c r="K14" s="15">
        <f t="shared" si="3"/>
        <v>-10379</v>
      </c>
      <c r="L14" s="60">
        <f t="shared" si="1"/>
        <v>-0.009400246350034417</v>
      </c>
      <c r="M14" s="15"/>
      <c r="O14" s="15"/>
    </row>
    <row r="15" spans="1:15" ht="13.5">
      <c r="A15" s="15" t="s">
        <v>158</v>
      </c>
      <c r="F15" s="20">
        <v>1940231</v>
      </c>
      <c r="G15" s="20">
        <v>1920994</v>
      </c>
      <c r="H15" s="20">
        <v>1908979</v>
      </c>
      <c r="I15" s="15">
        <f t="shared" si="2"/>
        <v>-19237</v>
      </c>
      <c r="J15" s="60">
        <f t="shared" si="0"/>
        <v>-0.009914798804884573</v>
      </c>
      <c r="K15" s="15">
        <f t="shared" si="3"/>
        <v>-12015</v>
      </c>
      <c r="L15" s="60">
        <f t="shared" si="1"/>
        <v>-0.006254574454683357</v>
      </c>
      <c r="M15" s="15"/>
      <c r="O15" s="15"/>
    </row>
    <row r="16" spans="1:15" ht="13.5">
      <c r="A16" s="15" t="s">
        <v>159</v>
      </c>
      <c r="F16" s="15">
        <f>SUM(F13:F15)</f>
        <v>5198038</v>
      </c>
      <c r="G16" s="15">
        <f>SUM(G13:G15)</f>
        <v>5160981</v>
      </c>
      <c r="H16" s="15">
        <f>SUM(H13:H15)</f>
        <v>5138738</v>
      </c>
      <c r="I16" s="15">
        <f t="shared" si="2"/>
        <v>-37057</v>
      </c>
      <c r="J16" s="60">
        <f t="shared" si="0"/>
        <v>-0.007129035993965416</v>
      </c>
      <c r="K16" s="15">
        <f t="shared" si="3"/>
        <v>-22243</v>
      </c>
      <c r="L16" s="60">
        <f t="shared" si="1"/>
        <v>-0.0043098395440711755</v>
      </c>
      <c r="M16" s="15"/>
      <c r="O16" s="15"/>
    </row>
    <row r="17" spans="1:15" ht="13.5">
      <c r="A17" s="15" t="s">
        <v>160</v>
      </c>
      <c r="F17" s="20">
        <v>1480617</v>
      </c>
      <c r="G17" s="20">
        <v>1532641</v>
      </c>
      <c r="H17" s="20">
        <v>1578394</v>
      </c>
      <c r="I17" s="15">
        <f t="shared" si="2"/>
        <v>52024</v>
      </c>
      <c r="J17" s="60">
        <f t="shared" si="0"/>
        <v>0.03513670314470251</v>
      </c>
      <c r="K17" s="15">
        <f t="shared" si="3"/>
        <v>45753</v>
      </c>
      <c r="L17" s="60">
        <f t="shared" si="1"/>
        <v>0.02985239204745273</v>
      </c>
      <c r="M17" s="15"/>
      <c r="O17" s="15"/>
    </row>
    <row r="18" spans="1:15" ht="13.5">
      <c r="A18" s="15" t="s">
        <v>161</v>
      </c>
      <c r="F18" s="15">
        <f>+F12+F13+F14+F15+F17</f>
        <v>8230715</v>
      </c>
      <c r="G18" s="15">
        <f>+G12+G13+G14+G15+G17</f>
        <v>8246494</v>
      </c>
      <c r="H18" s="15">
        <f>+H12+H13+H14+H15+H17</f>
        <v>8269798</v>
      </c>
      <c r="I18" s="15">
        <f t="shared" si="2"/>
        <v>15779</v>
      </c>
      <c r="J18" s="60">
        <f t="shared" si="0"/>
        <v>0.001917087397631919</v>
      </c>
      <c r="K18" s="15">
        <f t="shared" si="3"/>
        <v>23304</v>
      </c>
      <c r="L18" s="60">
        <f t="shared" si="1"/>
        <v>0.0028259282065808814</v>
      </c>
      <c r="M18" s="15"/>
      <c r="O18" s="15"/>
    </row>
    <row r="19" spans="1:15" ht="13.5">
      <c r="A19" s="19"/>
      <c r="J19" s="60"/>
      <c r="K19" s="15"/>
      <c r="L19" s="60"/>
      <c r="M19" s="15"/>
      <c r="O19" s="15"/>
    </row>
    <row r="20" spans="1:15" ht="13.5">
      <c r="A20" s="18" t="s">
        <v>143</v>
      </c>
      <c r="J20" s="60"/>
      <c r="K20" s="15"/>
      <c r="L20" s="60"/>
      <c r="M20" s="15"/>
      <c r="O20" s="15"/>
    </row>
    <row r="21" spans="1:15" ht="13.5">
      <c r="A21" s="15" t="s">
        <v>155</v>
      </c>
      <c r="F21" s="15">
        <v>1552060</v>
      </c>
      <c r="G21" s="15">
        <v>1552872</v>
      </c>
      <c r="H21" s="15">
        <v>1552666</v>
      </c>
      <c r="I21" s="15">
        <f>G21-F21</f>
        <v>812</v>
      </c>
      <c r="J21" s="60">
        <f aca="true" t="shared" si="4" ref="J21:J27">IF(F21=0,0,I21/F21)</f>
        <v>0.0005231756504258856</v>
      </c>
      <c r="K21" s="15">
        <f>H21-G21</f>
        <v>-206</v>
      </c>
      <c r="L21" s="60">
        <f aca="true" t="shared" si="5" ref="L21:L27">IF(G21=0,0,K21/G21)</f>
        <v>-0.00013265742443678552</v>
      </c>
      <c r="M21" s="15"/>
      <c r="O21" s="15"/>
    </row>
    <row r="22" spans="1:15" ht="13.5">
      <c r="A22" s="15" t="s">
        <v>156</v>
      </c>
      <c r="F22" s="15">
        <v>2046485</v>
      </c>
      <c r="G22" s="15">
        <v>2045138</v>
      </c>
      <c r="H22" s="15">
        <v>2045123</v>
      </c>
      <c r="I22" s="15">
        <f aca="true" t="shared" si="6" ref="I22:I27">G22-F22</f>
        <v>-1347</v>
      </c>
      <c r="J22" s="60">
        <f t="shared" si="4"/>
        <v>-0.0006582017459204441</v>
      </c>
      <c r="K22" s="15">
        <f aca="true" t="shared" si="7" ref="K22:K27">H22-G22</f>
        <v>-15</v>
      </c>
      <c r="L22" s="60">
        <f t="shared" si="5"/>
        <v>-7.3344683830626584E-06</v>
      </c>
      <c r="M22" s="15"/>
      <c r="O22" s="15"/>
    </row>
    <row r="23" spans="1:15" ht="13.5">
      <c r="A23" s="15" t="s">
        <v>157</v>
      </c>
      <c r="F23" s="15">
        <v>684986</v>
      </c>
      <c r="G23" s="15">
        <v>675460</v>
      </c>
      <c r="H23" s="15">
        <v>669507</v>
      </c>
      <c r="I23" s="15">
        <f t="shared" si="6"/>
        <v>-9526</v>
      </c>
      <c r="J23" s="60">
        <f t="shared" si="4"/>
        <v>-0.013906853570729913</v>
      </c>
      <c r="K23" s="15">
        <f t="shared" si="7"/>
        <v>-5953</v>
      </c>
      <c r="L23" s="60">
        <f t="shared" si="5"/>
        <v>-0.00881325319041838</v>
      </c>
      <c r="M23" s="15"/>
      <c r="O23" s="15"/>
    </row>
    <row r="24" spans="1:15" ht="13.5">
      <c r="A24" s="15" t="s">
        <v>158</v>
      </c>
      <c r="F24" s="20">
        <v>1206693</v>
      </c>
      <c r="G24" s="20">
        <v>1195243</v>
      </c>
      <c r="H24" s="20">
        <v>1188422</v>
      </c>
      <c r="I24" s="15">
        <f t="shared" si="6"/>
        <v>-11450</v>
      </c>
      <c r="J24" s="60">
        <f t="shared" si="4"/>
        <v>-0.009488743201460521</v>
      </c>
      <c r="K24" s="15">
        <f t="shared" si="7"/>
        <v>-6821</v>
      </c>
      <c r="L24" s="60">
        <f t="shared" si="5"/>
        <v>-0.005706789330705137</v>
      </c>
      <c r="M24" s="15"/>
      <c r="O24" s="15"/>
    </row>
    <row r="25" spans="1:15" ht="13.5">
      <c r="A25" s="15" t="s">
        <v>162</v>
      </c>
      <c r="F25" s="15">
        <f>SUM(F22:F24)</f>
        <v>3938164</v>
      </c>
      <c r="G25" s="15">
        <f>SUM(G22:G24)</f>
        <v>3915841</v>
      </c>
      <c r="H25" s="15">
        <f>SUM(H22:H24)</f>
        <v>3903052</v>
      </c>
      <c r="I25" s="15">
        <f t="shared" si="6"/>
        <v>-22323</v>
      </c>
      <c r="J25" s="60">
        <f t="shared" si="4"/>
        <v>-0.005668377446952437</v>
      </c>
      <c r="K25" s="15">
        <f t="shared" si="7"/>
        <v>-12789</v>
      </c>
      <c r="L25" s="60">
        <f t="shared" si="5"/>
        <v>-0.0032659650889808856</v>
      </c>
      <c r="M25" s="15"/>
      <c r="O25" s="15"/>
    </row>
    <row r="26" spans="1:15" ht="13.5">
      <c r="A26" s="15" t="s">
        <v>160</v>
      </c>
      <c r="F26" s="20">
        <v>356688</v>
      </c>
      <c r="G26" s="20">
        <v>369473</v>
      </c>
      <c r="H26" s="20">
        <v>380802</v>
      </c>
      <c r="I26" s="15">
        <f t="shared" si="6"/>
        <v>12785</v>
      </c>
      <c r="J26" s="60">
        <f t="shared" si="4"/>
        <v>0.03584365047324272</v>
      </c>
      <c r="K26" s="15">
        <f t="shared" si="7"/>
        <v>11329</v>
      </c>
      <c r="L26" s="60">
        <f t="shared" si="5"/>
        <v>0.03066259239511412</v>
      </c>
      <c r="M26" s="15"/>
      <c r="O26" s="15"/>
    </row>
    <row r="27" spans="1:15" ht="13.5">
      <c r="A27" s="15" t="s">
        <v>163</v>
      </c>
      <c r="F27" s="15">
        <f>+F21+F25+F26</f>
        <v>5846912</v>
      </c>
      <c r="G27" s="15">
        <f>+G21+G25+G26</f>
        <v>5838186</v>
      </c>
      <c r="H27" s="15">
        <f>+H21+H25+H26</f>
        <v>5836520</v>
      </c>
      <c r="I27" s="15">
        <f t="shared" si="6"/>
        <v>-8726</v>
      </c>
      <c r="J27" s="60">
        <f t="shared" si="4"/>
        <v>-0.0014924117209220867</v>
      </c>
      <c r="K27" s="15">
        <f t="shared" si="7"/>
        <v>-1666</v>
      </c>
      <c r="L27" s="60">
        <f t="shared" si="5"/>
        <v>-0.0002853626109205839</v>
      </c>
      <c r="M27" s="15"/>
      <c r="O27" s="15"/>
    </row>
    <row r="28" spans="10:15" ht="13.5">
      <c r="J28" s="60"/>
      <c r="K28" s="15"/>
      <c r="L28" s="60"/>
      <c r="M28" s="15"/>
      <c r="O28" s="15"/>
    </row>
    <row r="29" spans="10:15" ht="13.5">
      <c r="J29" s="60"/>
      <c r="K29" s="15"/>
      <c r="L29" s="60"/>
      <c r="M29" s="15"/>
      <c r="O29" s="15"/>
    </row>
    <row r="30" spans="1:15" ht="13.5">
      <c r="A30" s="35"/>
      <c r="J30" s="60"/>
      <c r="K30" s="15"/>
      <c r="L30" s="60"/>
      <c r="M30" s="15"/>
      <c r="O30" s="15"/>
    </row>
    <row r="31" spans="1:15" ht="13.5">
      <c r="A31" s="35"/>
      <c r="F31" s="35"/>
      <c r="G31" s="35"/>
      <c r="H31" s="35"/>
      <c r="J31" s="60"/>
      <c r="K31" s="15"/>
      <c r="L31" s="60"/>
      <c r="M31" s="15"/>
      <c r="O31" s="15"/>
    </row>
    <row r="32" spans="1:15" ht="13.5">
      <c r="A32" s="20"/>
      <c r="C32" s="14"/>
      <c r="D32" s="14"/>
      <c r="E32" s="14"/>
      <c r="F32" s="37"/>
      <c r="G32" s="37"/>
      <c r="H32" s="37"/>
      <c r="J32" s="60"/>
      <c r="K32" s="15"/>
      <c r="L32" s="60"/>
      <c r="M32" s="15"/>
      <c r="O32" s="15"/>
    </row>
    <row r="33" spans="1:15" ht="13.5">
      <c r="A33" s="18" t="s">
        <v>146</v>
      </c>
      <c r="F33" s="35"/>
      <c r="G33" s="35"/>
      <c r="H33" s="35"/>
      <c r="J33" s="60"/>
      <c r="K33" s="15"/>
      <c r="L33" s="60"/>
      <c r="M33" s="15"/>
      <c r="O33" s="15"/>
    </row>
    <row r="34" spans="1:15" ht="13.5">
      <c r="A34" s="15" t="s">
        <v>176</v>
      </c>
      <c r="F34" s="35">
        <f>'[2]Medical Workload Data'!F34+'[1]Medical Workload Data'!F30+'[3]Medical Workload Data'!F34</f>
        <v>76</v>
      </c>
      <c r="G34" s="35">
        <f>'[2]Medical Workload Data'!G34+'[1]Medical Workload Data'!G30+'[3]Medical Workload Data'!G34</f>
        <v>76</v>
      </c>
      <c r="H34" s="35">
        <f>'[2]Medical Workload Data'!H34+'[1]Medical Workload Data'!H30+'[3]Medical Workload Data'!H34</f>
        <v>76</v>
      </c>
      <c r="I34" s="15">
        <f>G34-F34</f>
        <v>0</v>
      </c>
      <c r="J34" s="60">
        <f>IF(F34=0,0,I34/F34)</f>
        <v>0</v>
      </c>
      <c r="K34" s="15">
        <f>H34-G34</f>
        <v>0</v>
      </c>
      <c r="L34" s="60">
        <f>IF(G34=0,0,K34/G34)</f>
        <v>0</v>
      </c>
      <c r="M34" s="15"/>
      <c r="O34" s="15"/>
    </row>
    <row r="35" spans="1:15" ht="13.5">
      <c r="A35" s="15" t="s">
        <v>177</v>
      </c>
      <c r="F35" s="35">
        <f>'[2]Medical Workload Data'!F35+'[1]Medical Workload Data'!F31+'[3]Medical Workload Data'!F35</f>
        <v>3851</v>
      </c>
      <c r="G35" s="35">
        <f>'[2]Medical Workload Data'!G35+'[1]Medical Workload Data'!G31+'[3]Medical Workload Data'!G35</f>
        <v>3809</v>
      </c>
      <c r="H35" s="35">
        <f>'[2]Medical Workload Data'!H35+'[1]Medical Workload Data'!H31+'[3]Medical Workload Data'!H35</f>
        <v>3793</v>
      </c>
      <c r="I35" s="15">
        <f>G35-F35</f>
        <v>-42</v>
      </c>
      <c r="J35" s="60">
        <f>IF(F35=0,0,I35/F35)</f>
        <v>-0.010906258114775382</v>
      </c>
      <c r="K35" s="15">
        <f>H35-G35</f>
        <v>-16</v>
      </c>
      <c r="L35" s="60">
        <f>IF(G35=0,0,K35/G35)</f>
        <v>-0.00420057757941717</v>
      </c>
      <c r="M35" s="15"/>
      <c r="O35" s="15"/>
    </row>
    <row r="36" spans="1:15" ht="13.5">
      <c r="A36" s="15" t="s">
        <v>178</v>
      </c>
      <c r="F36" s="35">
        <f>'[2]Medical Workload Data'!F36+'[1]Medical Workload Data'!F32+'[3]Medical Workload Data'!F36</f>
        <v>515</v>
      </c>
      <c r="G36" s="35">
        <f>'[2]Medical Workload Data'!G36+'[1]Medical Workload Data'!G32+'[3]Medical Workload Data'!G36</f>
        <v>513</v>
      </c>
      <c r="H36" s="35">
        <f>'[2]Medical Workload Data'!H36+'[1]Medical Workload Data'!H32+'[3]Medical Workload Data'!H36</f>
        <v>513</v>
      </c>
      <c r="I36" s="15">
        <f>G36-F36</f>
        <v>-2</v>
      </c>
      <c r="J36" s="60">
        <f>IF(F36=0,0,I36/F36)</f>
        <v>-0.003883495145631068</v>
      </c>
      <c r="K36" s="15">
        <f>H36-G36</f>
        <v>0</v>
      </c>
      <c r="L36" s="60">
        <f>IF(G36=0,0,K36/G36)</f>
        <v>0</v>
      </c>
      <c r="M36" s="15"/>
      <c r="O36" s="15"/>
    </row>
    <row r="37" spans="1:15" s="23" customFormat="1" ht="13.5">
      <c r="A37" s="96" t="s">
        <v>1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O37" s="60"/>
    </row>
    <row r="38" spans="1:15" s="23" customFormat="1" ht="13.5">
      <c r="A38" s="96" t="s">
        <v>276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O38" s="60"/>
    </row>
    <row r="39" spans="1:13" ht="13.5">
      <c r="A39" s="96" t="s">
        <v>202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</row>
    <row r="40" spans="1:13" ht="13.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58"/>
      <c r="L40" s="42"/>
      <c r="M40" s="58"/>
    </row>
    <row r="41" spans="1:13" ht="13.5">
      <c r="A41" s="96" t="s">
        <v>144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</row>
    <row r="42" spans="1:15" ht="13.5">
      <c r="A42" s="14"/>
      <c r="B42" s="14"/>
      <c r="C42" s="14"/>
      <c r="D42" s="14"/>
      <c r="E42" s="14"/>
      <c r="F42" s="14"/>
      <c r="G42" s="14"/>
      <c r="H42" s="14"/>
      <c r="I42" s="14"/>
      <c r="J42" s="58"/>
      <c r="K42" s="14"/>
      <c r="L42" s="58"/>
      <c r="M42" s="15"/>
      <c r="O42" s="15"/>
    </row>
    <row r="43" spans="1:15" ht="13.5">
      <c r="A43" s="14"/>
      <c r="B43" s="14"/>
      <c r="C43" s="14"/>
      <c r="D43" s="14"/>
      <c r="E43" s="14"/>
      <c r="F43" s="14"/>
      <c r="G43" s="14"/>
      <c r="H43" s="14"/>
      <c r="I43" s="14"/>
      <c r="J43" s="58"/>
      <c r="K43" s="14"/>
      <c r="L43" s="58"/>
      <c r="M43" s="15"/>
      <c r="O43" s="15"/>
    </row>
    <row r="44" spans="1:15" ht="13.5">
      <c r="A44" s="14"/>
      <c r="B44" s="14"/>
      <c r="C44" s="14"/>
      <c r="D44" s="14"/>
      <c r="E44" s="14"/>
      <c r="F44" s="14"/>
      <c r="G44" s="14"/>
      <c r="H44" s="14"/>
      <c r="I44" s="14"/>
      <c r="J44" s="58"/>
      <c r="K44" s="14"/>
      <c r="L44" s="58"/>
      <c r="M44" s="15"/>
      <c r="O44" s="15"/>
    </row>
    <row r="45" spans="6:15" ht="13.5">
      <c r="F45" s="16" t="s">
        <v>201</v>
      </c>
      <c r="G45" s="16" t="s">
        <v>211</v>
      </c>
      <c r="H45" s="16" t="s">
        <v>277</v>
      </c>
      <c r="I45" s="97" t="s">
        <v>212</v>
      </c>
      <c r="J45" s="97"/>
      <c r="K45" s="97" t="s">
        <v>278</v>
      </c>
      <c r="L45" s="97"/>
      <c r="M45" s="15"/>
      <c r="O45" s="15"/>
    </row>
    <row r="46" spans="1:15" ht="13.5">
      <c r="A46" s="19"/>
      <c r="F46" s="17" t="s">
        <v>22</v>
      </c>
      <c r="G46" s="17" t="s">
        <v>23</v>
      </c>
      <c r="H46" s="17" t="s">
        <v>23</v>
      </c>
      <c r="I46" s="17" t="s">
        <v>24</v>
      </c>
      <c r="J46" s="61" t="s">
        <v>25</v>
      </c>
      <c r="K46" s="17" t="s">
        <v>24</v>
      </c>
      <c r="L46" s="61" t="s">
        <v>25</v>
      </c>
      <c r="M46" s="15"/>
      <c r="O46" s="15"/>
    </row>
    <row r="47" spans="1:15" ht="13.5">
      <c r="A47" s="18" t="s">
        <v>297</v>
      </c>
      <c r="F47" s="34"/>
      <c r="H47" s="34"/>
      <c r="J47" s="60"/>
      <c r="K47" s="15"/>
      <c r="L47" s="60"/>
      <c r="M47" s="15"/>
      <c r="O47" s="15"/>
    </row>
    <row r="48" spans="1:15" ht="13.5">
      <c r="A48" s="15" t="s">
        <v>164</v>
      </c>
      <c r="F48" s="35">
        <f>+'[1]Medical Workload Data'!F44+'[2]Medical Workload Data'!F48+'[3]Medical Workload Data'!F48</f>
        <v>352216</v>
      </c>
      <c r="G48" s="35"/>
      <c r="H48" s="50" t="s">
        <v>256</v>
      </c>
      <c r="J48" s="60"/>
      <c r="K48" s="15"/>
      <c r="L48" s="60"/>
      <c r="M48" s="15"/>
      <c r="O48" s="15"/>
    </row>
    <row r="49" spans="1:15" ht="13.5">
      <c r="A49" s="15" t="s">
        <v>165</v>
      </c>
      <c r="F49" s="35">
        <f>+'[1]Medical Workload Data'!F45+'[2]Medical Workload Data'!F49+'[3]Medical Workload Data'!F49</f>
        <v>389780</v>
      </c>
      <c r="G49" s="35"/>
      <c r="H49" s="35"/>
      <c r="J49" s="60"/>
      <c r="K49" s="15"/>
      <c r="L49" s="60"/>
      <c r="M49" s="15"/>
      <c r="N49" s="60"/>
      <c r="O49" s="15"/>
    </row>
    <row r="50" spans="1:15" ht="13.5">
      <c r="A50" s="15" t="s">
        <v>166</v>
      </c>
      <c r="F50" s="35">
        <f>+'[1]Medical Workload Data'!F46+'[2]Medical Workload Data'!F50+'[3]Medical Workload Data'!F50</f>
        <v>364117</v>
      </c>
      <c r="G50" s="35"/>
      <c r="H50" s="35"/>
      <c r="J50" s="60"/>
      <c r="K50" s="15"/>
      <c r="L50" s="60"/>
      <c r="M50" s="15"/>
      <c r="N50" s="60"/>
      <c r="O50" s="15"/>
    </row>
    <row r="51" spans="1:15" ht="13.5">
      <c r="A51" s="15" t="s">
        <v>167</v>
      </c>
      <c r="F51" s="35">
        <f>+'[1]Medical Workload Data'!F47+'[2]Medical Workload Data'!F51+'[3]Medical Workload Data'!F51</f>
        <v>176876</v>
      </c>
      <c r="G51" s="35"/>
      <c r="H51" s="35"/>
      <c r="J51" s="60"/>
      <c r="K51" s="15"/>
      <c r="L51" s="60"/>
      <c r="M51" s="15"/>
      <c r="N51" s="60"/>
      <c r="O51" s="15"/>
    </row>
    <row r="52" spans="1:15" ht="13.5">
      <c r="A52" s="15" t="s">
        <v>168</v>
      </c>
      <c r="F52" s="35">
        <f>+'[1]Medical Workload Data'!F48+'[2]Medical Workload Data'!F52+'[3]Medical Workload Data'!F52</f>
        <v>168541</v>
      </c>
      <c r="G52" s="35"/>
      <c r="H52" s="35"/>
      <c r="J52" s="60"/>
      <c r="K52" s="15"/>
      <c r="L52" s="60"/>
      <c r="M52" s="15"/>
      <c r="N52" s="60"/>
      <c r="O52" s="15"/>
    </row>
    <row r="53" spans="1:15" ht="13.5">
      <c r="A53" s="15" t="s">
        <v>169</v>
      </c>
      <c r="F53" s="35">
        <f>+'[1]Medical Workload Data'!F49+'[2]Medical Workload Data'!F53+'[3]Medical Workload Data'!F53</f>
        <v>392111</v>
      </c>
      <c r="G53" s="35"/>
      <c r="H53" s="35"/>
      <c r="J53" s="60"/>
      <c r="K53" s="15"/>
      <c r="L53" s="60"/>
      <c r="M53" s="15"/>
      <c r="N53" s="60"/>
      <c r="O53" s="15"/>
    </row>
    <row r="54" spans="1:15" ht="13.5">
      <c r="A54" s="15" t="s">
        <v>170</v>
      </c>
      <c r="F54" s="35">
        <f>+'[1]Medical Workload Data'!F50+'[2]Medical Workload Data'!F54+'[3]Medical Workload Data'!F54</f>
        <v>167741</v>
      </c>
      <c r="G54" s="35"/>
      <c r="H54" s="35"/>
      <c r="J54" s="60"/>
      <c r="K54" s="15"/>
      <c r="L54" s="60"/>
      <c r="M54" s="15"/>
      <c r="N54" s="60"/>
      <c r="O54" s="15"/>
    </row>
    <row r="55" spans="1:15" ht="13.5">
      <c r="A55" s="15" t="s">
        <v>203</v>
      </c>
      <c r="F55" s="35">
        <f>+'[1]Medical Workload Data'!F51+'[2]Medical Workload Data'!F55+'[3]Medical Workload Data'!F55</f>
        <v>278296</v>
      </c>
      <c r="G55" s="35"/>
      <c r="H55" s="35"/>
      <c r="J55" s="60"/>
      <c r="K55" s="15"/>
      <c r="L55" s="60"/>
      <c r="M55" s="15"/>
      <c r="N55" s="60"/>
      <c r="O55" s="15"/>
    </row>
    <row r="56" spans="1:15" ht="13.5">
      <c r="A56" s="15" t="s">
        <v>171</v>
      </c>
      <c r="F56" s="35">
        <f>+'[1]Medical Workload Data'!F52+'[2]Medical Workload Data'!F56+'[3]Medical Workload Data'!F56</f>
        <v>280738</v>
      </c>
      <c r="G56" s="35"/>
      <c r="H56" s="35"/>
      <c r="J56" s="60"/>
      <c r="K56" s="15"/>
      <c r="L56" s="60"/>
      <c r="M56" s="15"/>
      <c r="N56" s="60"/>
      <c r="O56" s="15"/>
    </row>
    <row r="57" spans="1:15" ht="13.5">
      <c r="A57" s="15" t="s">
        <v>172</v>
      </c>
      <c r="F57" s="35">
        <f>+'[1]Medical Workload Data'!F53+'[2]Medical Workload Data'!F57+'[3]Medical Workload Data'!F57</f>
        <v>61305</v>
      </c>
      <c r="G57" s="35"/>
      <c r="H57" s="35"/>
      <c r="J57" s="60"/>
      <c r="K57" s="15"/>
      <c r="L57" s="60"/>
      <c r="M57" s="15"/>
      <c r="N57" s="60"/>
      <c r="O57" s="15"/>
    </row>
    <row r="58" spans="1:15" ht="13.5">
      <c r="A58" s="15" t="s">
        <v>173</v>
      </c>
      <c r="F58" s="35">
        <f>+'[1]Medical Workload Data'!F54+'[2]Medical Workload Data'!F58+'[3]Medical Workload Data'!F58</f>
        <v>149427</v>
      </c>
      <c r="G58" s="35"/>
      <c r="H58" s="35"/>
      <c r="J58" s="60"/>
      <c r="K58" s="15"/>
      <c r="L58" s="60"/>
      <c r="M58" s="15"/>
      <c r="N58" s="60"/>
      <c r="O58" s="15"/>
    </row>
    <row r="59" spans="1:15" ht="13.5">
      <c r="A59" s="15" t="s">
        <v>191</v>
      </c>
      <c r="F59" s="35">
        <f>+'[1]Medical Workload Data'!F55+'[2]Medical Workload Data'!F59+'[3]Medical Workload Data'!F60</f>
        <v>1822983</v>
      </c>
      <c r="G59" s="35"/>
      <c r="H59" s="35"/>
      <c r="J59" s="60"/>
      <c r="K59" s="15"/>
      <c r="L59" s="60"/>
      <c r="M59" s="15"/>
      <c r="N59" s="60"/>
      <c r="O59" s="15"/>
    </row>
    <row r="60" spans="1:15" ht="13.5">
      <c r="A60" s="15" t="s">
        <v>204</v>
      </c>
      <c r="F60" s="35">
        <f>+'[1]Medical Workload Data'!F56+'[2]Medical Workload Data'!F60+'[3]Medical Workload Data'!F60</f>
        <v>90145</v>
      </c>
      <c r="G60" s="35"/>
      <c r="H60" s="35"/>
      <c r="J60" s="60"/>
      <c r="K60" s="15"/>
      <c r="L60" s="60"/>
      <c r="M60" s="15"/>
      <c r="N60" s="60"/>
      <c r="O60" s="15"/>
    </row>
    <row r="61" spans="1:15" ht="13.5">
      <c r="A61" s="15" t="s">
        <v>205</v>
      </c>
      <c r="F61" s="35">
        <f>+'[1]Medical Workload Data'!F57+'[2]Medical Workload Data'!F61+'[3]Medical Workload Data'!F61</f>
        <v>51625</v>
      </c>
      <c r="G61" s="35"/>
      <c r="H61" s="35"/>
      <c r="J61" s="60"/>
      <c r="K61" s="15"/>
      <c r="L61" s="60"/>
      <c r="M61" s="15"/>
      <c r="N61" s="60"/>
      <c r="O61" s="15"/>
    </row>
    <row r="62" spans="1:15" ht="13.5">
      <c r="A62" s="15" t="s">
        <v>174</v>
      </c>
      <c r="F62" s="35">
        <f>+'[1]Medical Workload Data'!F58+'[2]Medical Workload Data'!F62+'[3]Medical Workload Data'!F62</f>
        <v>395079</v>
      </c>
      <c r="G62" s="35"/>
      <c r="H62" s="35"/>
      <c r="J62" s="60"/>
      <c r="K62" s="15"/>
      <c r="L62" s="60"/>
      <c r="M62" s="15"/>
      <c r="N62" s="60"/>
      <c r="O62" s="15"/>
    </row>
    <row r="63" spans="1:15" ht="13.5">
      <c r="A63" s="15" t="s">
        <v>175</v>
      </c>
      <c r="F63" s="35">
        <f>+'[1]Medical Workload Data'!F59+'[2]Medical Workload Data'!F63+'[3]Medical Workload Data'!F63</f>
        <v>3317997</v>
      </c>
      <c r="G63" s="35"/>
      <c r="H63" s="35"/>
      <c r="J63" s="60"/>
      <c r="K63" s="15"/>
      <c r="L63" s="60"/>
      <c r="M63" s="15"/>
      <c r="N63" s="60"/>
      <c r="O63" s="15"/>
    </row>
    <row r="64" spans="1:15" ht="14.25" customHeight="1">
      <c r="A64" s="20"/>
      <c r="C64" s="14"/>
      <c r="D64" s="14"/>
      <c r="E64" s="14"/>
      <c r="F64" s="14"/>
      <c r="G64" s="14"/>
      <c r="H64" s="14"/>
      <c r="J64" s="60"/>
      <c r="K64" s="15"/>
      <c r="L64" s="60"/>
      <c r="M64" s="15"/>
      <c r="N64" s="60"/>
      <c r="O64" s="15"/>
    </row>
    <row r="65" spans="1:15" ht="13.5">
      <c r="A65" s="18" t="s">
        <v>145</v>
      </c>
      <c r="F65" s="36"/>
      <c r="G65" s="36"/>
      <c r="H65" s="36"/>
      <c r="J65" s="60"/>
      <c r="K65" s="15"/>
      <c r="L65" s="60"/>
      <c r="M65" s="15"/>
      <c r="N65" s="60"/>
      <c r="O65" s="15"/>
    </row>
    <row r="66" spans="1:15" ht="13.5">
      <c r="A66" s="15" t="s">
        <v>164</v>
      </c>
      <c r="F66" s="35">
        <v>33146</v>
      </c>
      <c r="G66" s="35"/>
      <c r="H66" s="50" t="s">
        <v>256</v>
      </c>
      <c r="J66" s="60"/>
      <c r="K66" s="15"/>
      <c r="L66" s="60"/>
      <c r="M66" s="15"/>
      <c r="N66" s="60"/>
      <c r="O66" s="15"/>
    </row>
    <row r="67" spans="1:15" ht="13.5">
      <c r="A67" s="15" t="s">
        <v>165</v>
      </c>
      <c r="F67" s="35">
        <v>33977</v>
      </c>
      <c r="G67" s="35"/>
      <c r="H67" s="35" t="s">
        <v>257</v>
      </c>
      <c r="J67" s="60"/>
      <c r="K67" s="15"/>
      <c r="L67" s="60"/>
      <c r="M67" s="15"/>
      <c r="N67" s="60"/>
      <c r="O67" s="15"/>
    </row>
    <row r="68" spans="1:15" ht="13.5">
      <c r="A68" s="15" t="s">
        <v>166</v>
      </c>
      <c r="F68" s="35">
        <v>93601</v>
      </c>
      <c r="G68" s="35"/>
      <c r="H68" s="35" t="s">
        <v>257</v>
      </c>
      <c r="J68" s="60"/>
      <c r="K68" s="15"/>
      <c r="L68" s="60"/>
      <c r="M68" s="15"/>
      <c r="N68" s="60"/>
      <c r="O68" s="15"/>
    </row>
    <row r="69" spans="1:15" ht="13.5">
      <c r="A69" s="15" t="s">
        <v>167</v>
      </c>
      <c r="F69" s="35">
        <v>65428</v>
      </c>
      <c r="G69" s="35"/>
      <c r="H69" s="35" t="s">
        <v>257</v>
      </c>
      <c r="J69" s="60"/>
      <c r="K69" s="15"/>
      <c r="L69" s="60"/>
      <c r="M69" s="15"/>
      <c r="N69" s="60"/>
      <c r="O69" s="15"/>
    </row>
    <row r="70" spans="1:15" ht="13.5">
      <c r="A70" s="15" t="s">
        <v>168</v>
      </c>
      <c r="F70" s="35">
        <v>63557</v>
      </c>
      <c r="G70" s="35"/>
      <c r="H70" s="35" t="s">
        <v>257</v>
      </c>
      <c r="J70" s="60"/>
      <c r="K70" s="15"/>
      <c r="L70" s="60"/>
      <c r="M70" s="15"/>
      <c r="N70" s="60"/>
      <c r="O70" s="15"/>
    </row>
    <row r="71" spans="1:15" ht="13.5">
      <c r="A71" s="15" t="s">
        <v>169</v>
      </c>
      <c r="F71" s="35">
        <v>94596</v>
      </c>
      <c r="G71" s="35"/>
      <c r="H71" s="35" t="s">
        <v>257</v>
      </c>
      <c r="J71" s="60"/>
      <c r="K71" s="15"/>
      <c r="L71" s="60"/>
      <c r="M71" s="15"/>
      <c r="N71" s="60"/>
      <c r="O71" s="15"/>
    </row>
    <row r="72" spans="1:15" ht="13.5">
      <c r="A72" s="15" t="s">
        <v>170</v>
      </c>
      <c r="F72" s="35">
        <v>13268</v>
      </c>
      <c r="G72" s="35"/>
      <c r="H72" s="35" t="s">
        <v>257</v>
      </c>
      <c r="J72" s="60"/>
      <c r="K72" s="15"/>
      <c r="L72" s="60"/>
      <c r="M72" s="15"/>
      <c r="N72" s="60"/>
      <c r="O72" s="15"/>
    </row>
    <row r="73" spans="1:15" ht="13.5">
      <c r="A73" s="15" t="s">
        <v>203</v>
      </c>
      <c r="F73" s="35">
        <v>35288</v>
      </c>
      <c r="G73" s="35"/>
      <c r="H73" s="35" t="s">
        <v>257</v>
      </c>
      <c r="J73" s="60"/>
      <c r="K73" s="15"/>
      <c r="L73" s="60"/>
      <c r="M73" s="15"/>
      <c r="N73" s="60"/>
      <c r="O73" s="15"/>
    </row>
    <row r="74" spans="1:15" ht="13.5">
      <c r="A74" s="15" t="s">
        <v>171</v>
      </c>
      <c r="F74" s="35">
        <v>58311</v>
      </c>
      <c r="G74" s="35"/>
      <c r="H74" s="35" t="s">
        <v>257</v>
      </c>
      <c r="J74" s="60"/>
      <c r="K74" s="15"/>
      <c r="L74" s="60"/>
      <c r="M74" s="15"/>
      <c r="N74" s="60"/>
      <c r="O74" s="15"/>
    </row>
    <row r="75" spans="1:15" ht="13.5">
      <c r="A75" s="15" t="s">
        <v>172</v>
      </c>
      <c r="F75" s="35">
        <v>33876</v>
      </c>
      <c r="G75" s="35"/>
      <c r="H75" s="35" t="s">
        <v>257</v>
      </c>
      <c r="J75" s="60"/>
      <c r="K75" s="15"/>
      <c r="L75" s="60"/>
      <c r="M75" s="15"/>
      <c r="N75" s="60"/>
      <c r="O75" s="15"/>
    </row>
    <row r="76" spans="1:15" ht="13.5">
      <c r="A76" s="15" t="s">
        <v>173</v>
      </c>
      <c r="F76" s="35">
        <v>29942</v>
      </c>
      <c r="G76" s="35"/>
      <c r="H76" s="35" t="s">
        <v>257</v>
      </c>
      <c r="J76" s="60"/>
      <c r="K76" s="15"/>
      <c r="L76" s="60"/>
      <c r="M76" s="15"/>
      <c r="N76" s="60"/>
      <c r="O76" s="15"/>
    </row>
    <row r="77" spans="1:15" ht="13.5">
      <c r="A77" s="15" t="s">
        <v>191</v>
      </c>
      <c r="F77" s="35">
        <f>SUM(F66:F76)</f>
        <v>554990</v>
      </c>
      <c r="G77" s="35"/>
      <c r="H77" s="35" t="s">
        <v>257</v>
      </c>
      <c r="J77" s="60"/>
      <c r="K77" s="15"/>
      <c r="L77" s="60"/>
      <c r="M77" s="15"/>
      <c r="N77" s="60"/>
      <c r="O77" s="15"/>
    </row>
    <row r="78" spans="1:15" ht="13.5">
      <c r="A78" s="15" t="s">
        <v>204</v>
      </c>
      <c r="F78" s="35">
        <v>3781</v>
      </c>
      <c r="G78" s="35"/>
      <c r="H78" s="35" t="s">
        <v>257</v>
      </c>
      <c r="J78" s="60"/>
      <c r="K78" s="15"/>
      <c r="L78" s="60"/>
      <c r="M78" s="15"/>
      <c r="N78" s="60"/>
      <c r="O78" s="15"/>
    </row>
    <row r="79" spans="1:15" ht="13.5">
      <c r="A79" s="15" t="s">
        <v>205</v>
      </c>
      <c r="F79" s="35">
        <v>425</v>
      </c>
      <c r="G79" s="35"/>
      <c r="H79" s="35" t="s">
        <v>257</v>
      </c>
      <c r="J79" s="60"/>
      <c r="K79" s="15"/>
      <c r="L79" s="60"/>
      <c r="M79" s="15"/>
      <c r="N79" s="60"/>
      <c r="O79" s="15"/>
    </row>
    <row r="80" spans="1:15" ht="13.5">
      <c r="A80" s="15" t="s">
        <v>174</v>
      </c>
      <c r="F80" s="35">
        <f>+'[4]Medical Workload Data'!F76</f>
        <v>0</v>
      </c>
      <c r="G80" s="35"/>
      <c r="H80" s="35" t="s">
        <v>257</v>
      </c>
      <c r="J80" s="60"/>
      <c r="K80" s="15"/>
      <c r="L80" s="60"/>
      <c r="M80" s="15"/>
      <c r="N80" s="60"/>
      <c r="O80" s="15"/>
    </row>
    <row r="81" spans="1:15" ht="21" customHeight="1">
      <c r="A81" s="15" t="s">
        <v>175</v>
      </c>
      <c r="F81" s="35">
        <f>F79+F78+F80+F77</f>
        <v>559196</v>
      </c>
      <c r="G81" s="35"/>
      <c r="H81" s="35" t="s">
        <v>257</v>
      </c>
      <c r="J81" s="60"/>
      <c r="K81" s="15"/>
      <c r="L81" s="60"/>
      <c r="M81" s="15"/>
      <c r="N81" s="60"/>
      <c r="O81" s="15"/>
    </row>
    <row r="82" spans="1:15" s="23" customFormat="1" ht="13.5">
      <c r="A82" s="96" t="s">
        <v>1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O82" s="60"/>
    </row>
    <row r="83" spans="1:15" s="23" customFormat="1" ht="13.5">
      <c r="A83" s="96" t="s">
        <v>276</v>
      </c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O83" s="60"/>
    </row>
    <row r="84" spans="1:13" ht="13.5">
      <c r="A84" s="96" t="s">
        <v>202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</row>
    <row r="85" spans="1:13" ht="13.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58"/>
      <c r="L85" s="42"/>
      <c r="M85" s="58"/>
    </row>
    <row r="86" spans="1:13" ht="13.5">
      <c r="A86" s="96" t="s">
        <v>144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</row>
    <row r="87" spans="1:15" ht="13.5">
      <c r="A87" s="14"/>
      <c r="B87" s="14"/>
      <c r="C87" s="14"/>
      <c r="D87" s="14"/>
      <c r="E87" s="14"/>
      <c r="F87" s="14"/>
      <c r="G87" s="14"/>
      <c r="H87" s="14"/>
      <c r="I87" s="14"/>
      <c r="J87" s="58"/>
      <c r="K87" s="14"/>
      <c r="L87" s="58"/>
      <c r="M87" s="15"/>
      <c r="O87" s="15"/>
    </row>
    <row r="88" spans="1:15" ht="13.5">
      <c r="A88" s="14"/>
      <c r="B88" s="14"/>
      <c r="C88" s="14"/>
      <c r="D88" s="14"/>
      <c r="E88" s="14"/>
      <c r="F88" s="14"/>
      <c r="G88" s="14"/>
      <c r="H88" s="14"/>
      <c r="I88" s="14"/>
      <c r="J88" s="58"/>
      <c r="K88" s="14"/>
      <c r="L88" s="58"/>
      <c r="M88" s="15"/>
      <c r="O88" s="15"/>
    </row>
    <row r="89" spans="6:15" ht="13.5">
      <c r="F89" s="16" t="s">
        <v>201</v>
      </c>
      <c r="G89" s="16" t="s">
        <v>211</v>
      </c>
      <c r="H89" s="16" t="s">
        <v>277</v>
      </c>
      <c r="I89" s="97" t="s">
        <v>212</v>
      </c>
      <c r="J89" s="97"/>
      <c r="K89" s="97" t="s">
        <v>278</v>
      </c>
      <c r="L89" s="97"/>
      <c r="M89" s="15"/>
      <c r="O89" s="15"/>
    </row>
    <row r="90" spans="6:15" ht="13.5">
      <c r="F90" s="17" t="s">
        <v>22</v>
      </c>
      <c r="G90" s="17" t="s">
        <v>23</v>
      </c>
      <c r="H90" s="17" t="s">
        <v>23</v>
      </c>
      <c r="I90" s="17" t="s">
        <v>24</v>
      </c>
      <c r="J90" s="61" t="s">
        <v>25</v>
      </c>
      <c r="K90" s="17" t="s">
        <v>24</v>
      </c>
      <c r="L90" s="61" t="s">
        <v>25</v>
      </c>
      <c r="M90" s="15"/>
      <c r="O90" s="15"/>
    </row>
    <row r="91" spans="6:15" ht="13.5">
      <c r="F91" s="35"/>
      <c r="G91" s="35"/>
      <c r="H91" s="35"/>
      <c r="J91" s="60"/>
      <c r="K91" s="15"/>
      <c r="L91" s="60"/>
      <c r="M91" s="15"/>
      <c r="O91" s="15"/>
    </row>
    <row r="92" spans="1:15" ht="13.5">
      <c r="A92" s="18" t="s">
        <v>254</v>
      </c>
      <c r="F92" s="36"/>
      <c r="G92" s="36"/>
      <c r="H92" s="36"/>
      <c r="J92" s="60"/>
      <c r="K92" s="15"/>
      <c r="L92" s="60"/>
      <c r="M92" s="15"/>
      <c r="O92" s="15"/>
    </row>
    <row r="93" spans="1:15" ht="13.5">
      <c r="A93" s="15" t="s">
        <v>253</v>
      </c>
      <c r="F93" s="35">
        <f>'[2]Medical Workload Data'!F93+'[3]Medical Workload Data'!F93+'[1]Medical Workload Data'!F88</f>
        <v>290347</v>
      </c>
      <c r="G93" s="35">
        <f>'[2]Medical Workload Data'!G93+'[3]Medical Workload Data'!G93+'[1]Medical Workload Data'!G88</f>
        <v>289810</v>
      </c>
      <c r="H93" s="35">
        <f>'[2]Medical Workload Data'!H93+'[3]Medical Workload Data'!H93+'[1]Medical Workload Data'!H88</f>
        <v>289133</v>
      </c>
      <c r="I93" s="15">
        <f aca="true" t="shared" si="8" ref="I93:I99">G93-F93</f>
        <v>-537</v>
      </c>
      <c r="J93" s="60">
        <f aca="true" t="shared" si="9" ref="J93:J99">IF(F93=0,0,I93/F93)</f>
        <v>-0.0018495111022328455</v>
      </c>
      <c r="K93" s="15">
        <f aca="true" t="shared" si="10" ref="K93:K99">H93-G93</f>
        <v>-677</v>
      </c>
      <c r="L93" s="60">
        <f aca="true" t="shared" si="11" ref="L93:L99">IF(G93=0,0,K93/G93)</f>
        <v>-0.0023360132500603844</v>
      </c>
      <c r="M93" s="15"/>
      <c r="O93" s="15"/>
    </row>
    <row r="94" spans="1:15" ht="13.5">
      <c r="A94" s="15" t="s">
        <v>179</v>
      </c>
      <c r="F94" s="35">
        <f>'[2]Medical Workload Data'!F94+'[1]Medical Workload Data'!F89+'[3]Medical Workload Data'!F94</f>
        <v>320690</v>
      </c>
      <c r="G94" s="35">
        <f>'[2]Medical Workload Data'!G94+'[1]Medical Workload Data'!G89+'[3]Medical Workload Data'!G94</f>
        <v>321056</v>
      </c>
      <c r="H94" s="35">
        <f>'[2]Medical Workload Data'!H94+'[1]Medical Workload Data'!H89+'[3]Medical Workload Data'!H94</f>
        <v>321483</v>
      </c>
      <c r="I94" s="15">
        <f t="shared" si="8"/>
        <v>366</v>
      </c>
      <c r="J94" s="60">
        <f t="shared" si="9"/>
        <v>0.0011412890953880694</v>
      </c>
      <c r="K94" s="15">
        <f t="shared" si="10"/>
        <v>427</v>
      </c>
      <c r="L94" s="60">
        <f t="shared" si="11"/>
        <v>0.0013299860460480415</v>
      </c>
      <c r="M94" s="15"/>
      <c r="O94" s="15"/>
    </row>
    <row r="95" spans="1:15" ht="13.5">
      <c r="A95" s="15" t="s">
        <v>252</v>
      </c>
      <c r="F95" s="35">
        <f>'[2]Medical Workload Data'!F95+'[1]Medical Workload Data'!F90+'[3]Medical Workload Data'!F95</f>
        <v>1008111</v>
      </c>
      <c r="G95" s="35">
        <f>'[2]Medical Workload Data'!G95+'[1]Medical Workload Data'!G90+'[3]Medical Workload Data'!G95</f>
        <v>1008830</v>
      </c>
      <c r="H95" s="35">
        <f>'[2]Medical Workload Data'!H95+'[1]Medical Workload Data'!H90+'[3]Medical Workload Data'!H95</f>
        <v>1009080</v>
      </c>
      <c r="I95" s="15">
        <f t="shared" si="8"/>
        <v>719</v>
      </c>
      <c r="J95" s="60">
        <f t="shared" si="9"/>
        <v>0.0007132151122247451</v>
      </c>
      <c r="K95" s="15">
        <f t="shared" si="10"/>
        <v>250</v>
      </c>
      <c r="L95" s="60">
        <f t="shared" si="11"/>
        <v>0.00024781182161513835</v>
      </c>
      <c r="M95" s="15"/>
      <c r="O95" s="15"/>
    </row>
    <row r="96" spans="1:15" ht="13.5">
      <c r="A96" s="15" t="s">
        <v>180</v>
      </c>
      <c r="F96" s="64">
        <f>+F95/F93</f>
        <v>3.4720902919609986</v>
      </c>
      <c r="G96" s="64">
        <f>+G95/G93</f>
        <v>3.4810047962458164</v>
      </c>
      <c r="H96" s="64">
        <f>+H95/H93</f>
        <v>3.490020163730878</v>
      </c>
      <c r="I96" s="15">
        <f t="shared" si="8"/>
        <v>0.00891450428481777</v>
      </c>
      <c r="J96" s="60">
        <f t="shared" si="9"/>
        <v>0.0025674747875819083</v>
      </c>
      <c r="K96" s="15">
        <f t="shared" si="10"/>
        <v>0.00901536748506171</v>
      </c>
      <c r="L96" s="60">
        <f t="shared" si="11"/>
        <v>0.002589875054117873</v>
      </c>
      <c r="M96" s="15"/>
      <c r="O96" s="15"/>
    </row>
    <row r="97" spans="1:15" ht="13.5">
      <c r="A97" s="15" t="s">
        <v>251</v>
      </c>
      <c r="F97" s="35">
        <f>'[2]Medical Workload Data'!F97+'[1]Medical Workload Data'!F92+'[3]Medical Workload Data'!F97</f>
        <v>32005469</v>
      </c>
      <c r="G97" s="35">
        <f>'[2]Medical Workload Data'!G97+'[1]Medical Workload Data'!G92+'[3]Medical Workload Data'!G97</f>
        <v>32010629</v>
      </c>
      <c r="H97" s="35">
        <f>'[2]Medical Workload Data'!H97+'[1]Medical Workload Data'!H92+'[3]Medical Workload Data'!H97</f>
        <v>32022680</v>
      </c>
      <c r="I97" s="15">
        <f t="shared" si="8"/>
        <v>5160</v>
      </c>
      <c r="J97" s="60">
        <f t="shared" si="9"/>
        <v>0.00016122244607632527</v>
      </c>
      <c r="K97" s="15">
        <f t="shared" si="10"/>
        <v>12051</v>
      </c>
      <c r="L97" s="60">
        <f t="shared" si="11"/>
        <v>0.0003764687035671808</v>
      </c>
      <c r="M97" s="15"/>
      <c r="O97" s="15"/>
    </row>
    <row r="98" spans="1:15" ht="13.5">
      <c r="A98" s="15" t="s">
        <v>249</v>
      </c>
      <c r="F98" s="35">
        <f>'[2]Medical Workload Data'!F98+'[1]Medical Workload Data'!F93+'[3]Medical Workload Data'!F98</f>
        <v>3425342</v>
      </c>
      <c r="G98" s="35">
        <f>'[2]Medical Workload Data'!G98+'[1]Medical Workload Data'!G93+'[3]Medical Workload Data'!G98</f>
        <v>3427537</v>
      </c>
      <c r="H98" s="35">
        <f>'[2]Medical Workload Data'!H98+'[1]Medical Workload Data'!H93+'[3]Medical Workload Data'!H98</f>
        <v>3427612</v>
      </c>
      <c r="I98" s="15">
        <f t="shared" si="8"/>
        <v>2195</v>
      </c>
      <c r="J98" s="60">
        <f t="shared" si="9"/>
        <v>0.0006408119247654687</v>
      </c>
      <c r="K98" s="15">
        <f t="shared" si="10"/>
        <v>75</v>
      </c>
      <c r="L98" s="60">
        <f t="shared" si="11"/>
        <v>2.1881601861628335E-05</v>
      </c>
      <c r="M98" s="15"/>
      <c r="O98" s="15"/>
    </row>
    <row r="99" spans="1:15" ht="13.5">
      <c r="A99" s="15" t="s">
        <v>250</v>
      </c>
      <c r="F99" s="35">
        <f>'[2]Medical Workload Data'!F99+'[1]Medical Workload Data'!F94+'[3]Medical Workload Data'!F99</f>
        <v>196295</v>
      </c>
      <c r="G99" s="35">
        <f>'[2]Medical Workload Data'!G99+'[1]Medical Workload Data'!G94+'[3]Medical Workload Data'!G99</f>
        <v>194199</v>
      </c>
      <c r="H99" s="35">
        <f>'[2]Medical Workload Data'!H99+'[1]Medical Workload Data'!H94+'[3]Medical Workload Data'!H99</f>
        <v>193829</v>
      </c>
      <c r="I99" s="15">
        <f t="shared" si="8"/>
        <v>-2096</v>
      </c>
      <c r="J99" s="60">
        <f t="shared" si="9"/>
        <v>-0.010677806362872208</v>
      </c>
      <c r="K99" s="15">
        <f t="shared" si="10"/>
        <v>-370</v>
      </c>
      <c r="L99" s="60">
        <f t="shared" si="11"/>
        <v>-0.0019052621280233164</v>
      </c>
      <c r="M99" s="15"/>
      <c r="N99" s="60"/>
      <c r="O99" s="15"/>
    </row>
    <row r="100" spans="6:15" ht="13.5">
      <c r="F100" s="35"/>
      <c r="G100" s="35"/>
      <c r="H100" s="35"/>
      <c r="J100" s="60"/>
      <c r="K100" s="15"/>
      <c r="L100" s="60"/>
      <c r="M100" s="15"/>
      <c r="N100" s="60"/>
      <c r="O100" s="15"/>
    </row>
    <row r="101" spans="6:15" ht="13.5">
      <c r="F101" s="35"/>
      <c r="G101" s="35"/>
      <c r="H101" s="35"/>
      <c r="J101" s="60"/>
      <c r="K101" s="15"/>
      <c r="L101" s="60"/>
      <c r="M101" s="15"/>
      <c r="N101" s="60"/>
      <c r="O101" s="15"/>
    </row>
    <row r="102" spans="1:15" ht="13.5">
      <c r="A102" s="18" t="s">
        <v>262</v>
      </c>
      <c r="F102" s="35"/>
      <c r="G102" s="35"/>
      <c r="H102" s="35"/>
      <c r="J102" s="60"/>
      <c r="K102" s="15"/>
      <c r="L102" s="60"/>
      <c r="M102" s="15"/>
      <c r="N102" s="60"/>
      <c r="O102" s="15"/>
    </row>
    <row r="103" spans="1:15" ht="13.5">
      <c r="A103" s="15" t="s">
        <v>181</v>
      </c>
      <c r="F103" s="35">
        <f>'[2]Medical Workload Data'!F103+'[1]Medical Workload Data'!F98+'[3]Medical Workload Data'!F103</f>
        <v>8850228</v>
      </c>
      <c r="G103" s="35">
        <f>'[2]Medical Workload Data'!G103+'[1]Medical Workload Data'!G98+'[3]Medical Workload Data'!G103</f>
        <v>9219480</v>
      </c>
      <c r="H103" s="35">
        <f>'[2]Medical Workload Data'!H103+'[1]Medical Workload Data'!H98+'[3]Medical Workload Data'!H103</f>
        <v>9429657</v>
      </c>
      <c r="J103" s="65"/>
      <c r="K103" s="15"/>
      <c r="L103" s="60"/>
      <c r="M103" s="15"/>
      <c r="N103" s="60"/>
      <c r="O103" s="15"/>
    </row>
    <row r="104" spans="1:15" ht="13.5">
      <c r="A104" s="15" t="s">
        <v>182</v>
      </c>
      <c r="F104" s="35">
        <f>'[2]Medical Workload Data'!F104+'[1]Medical Workload Data'!F99+'[3]Medical Workload Data'!F104</f>
        <v>2227322</v>
      </c>
      <c r="G104" s="35">
        <f>'[2]Medical Workload Data'!G104+'[1]Medical Workload Data'!G99+'[3]Medical Workload Data'!G104</f>
        <v>2280689</v>
      </c>
      <c r="H104" s="35">
        <f>'[2]Medical Workload Data'!H104+'[1]Medical Workload Data'!H99+'[3]Medical Workload Data'!H104</f>
        <v>2321962</v>
      </c>
      <c r="J104" s="60"/>
      <c r="K104" s="15"/>
      <c r="L104" s="60"/>
      <c r="M104" s="15"/>
      <c r="N104" s="60"/>
      <c r="O104" s="15"/>
    </row>
    <row r="105" spans="1:15" ht="13.5">
      <c r="A105" s="15" t="s">
        <v>263</v>
      </c>
      <c r="F105" s="35">
        <f>SUM(F103:F104)</f>
        <v>11077550</v>
      </c>
      <c r="G105" s="35">
        <f>SUM(G103:G104)</f>
        <v>11500169</v>
      </c>
      <c r="H105" s="35">
        <f>SUM(H103:H104)</f>
        <v>11751619</v>
      </c>
      <c r="J105" s="60"/>
      <c r="K105" s="15"/>
      <c r="L105" s="60"/>
      <c r="M105" s="15"/>
      <c r="N105" s="60"/>
      <c r="O105" s="15"/>
    </row>
    <row r="106" spans="1:15" ht="13.5">
      <c r="A106" s="15" t="s">
        <v>186</v>
      </c>
      <c r="F106" s="35"/>
      <c r="G106" s="35"/>
      <c r="H106" s="35"/>
      <c r="J106" s="60"/>
      <c r="K106" s="15"/>
      <c r="L106" s="60"/>
      <c r="M106" s="15"/>
      <c r="N106" s="60"/>
      <c r="O106" s="15"/>
    </row>
    <row r="107" spans="1:15" ht="13.5">
      <c r="A107" s="15" t="s">
        <v>184</v>
      </c>
      <c r="F107" s="35">
        <f>'[2]Medical Workload Data'!F107+'[1]Medical Workload Data'!F102+'[3]Medical Workload Data'!F107</f>
        <v>7926231</v>
      </c>
      <c r="G107" s="35">
        <f>'[2]Medical Workload Data'!G107+'[1]Medical Workload Data'!G102+'[3]Medical Workload Data'!G107</f>
        <v>8289297</v>
      </c>
      <c r="H107" s="35">
        <f>'[2]Medical Workload Data'!H107+'[1]Medical Workload Data'!H102+'[3]Medical Workload Data'!H107</f>
        <v>8478214</v>
      </c>
      <c r="J107" s="60"/>
      <c r="K107" s="15"/>
      <c r="L107" s="60"/>
      <c r="M107" s="15"/>
      <c r="N107" s="60"/>
      <c r="O107" s="15"/>
    </row>
    <row r="108" spans="1:15" ht="13.5">
      <c r="A108" s="15" t="s">
        <v>185</v>
      </c>
      <c r="F108" s="35">
        <f>'[2]Medical Workload Data'!F108+'[1]Medical Workload Data'!F103+'[3]Medical Workload Data'!F108</f>
        <v>923997</v>
      </c>
      <c r="G108" s="35">
        <f>'[2]Medical Workload Data'!G108+'[1]Medical Workload Data'!G103+'[3]Medical Workload Data'!G108</f>
        <v>930183</v>
      </c>
      <c r="H108" s="35">
        <f>'[2]Medical Workload Data'!H108+'[1]Medical Workload Data'!H103+'[3]Medical Workload Data'!H108</f>
        <v>951443</v>
      </c>
      <c r="J108" s="60"/>
      <c r="K108" s="15"/>
      <c r="L108" s="60"/>
      <c r="M108" s="15"/>
      <c r="N108" s="60"/>
      <c r="O108" s="15"/>
    </row>
    <row r="109" spans="1:15" ht="13.5">
      <c r="A109" s="15" t="s">
        <v>187</v>
      </c>
      <c r="F109" s="35">
        <f>SUM(F107:F108)</f>
        <v>8850228</v>
      </c>
      <c r="G109" s="35">
        <f>SUM(G107:G108)</f>
        <v>9219480</v>
      </c>
      <c r="H109" s="35">
        <f>SUM(H107:H108)</f>
        <v>9429657</v>
      </c>
      <c r="J109" s="60"/>
      <c r="K109" s="15"/>
      <c r="L109" s="60"/>
      <c r="M109" s="15"/>
      <c r="N109" s="60"/>
      <c r="O109" s="15"/>
    </row>
    <row r="110" spans="6:15" ht="13.5">
      <c r="F110" s="35"/>
      <c r="G110" s="35"/>
      <c r="H110" s="35"/>
      <c r="J110" s="60"/>
      <c r="K110" s="15"/>
      <c r="L110" s="60"/>
      <c r="M110" s="15"/>
      <c r="N110" s="60"/>
      <c r="O110" s="15"/>
    </row>
    <row r="111" spans="1:15" ht="13.5">
      <c r="A111" s="15" t="s">
        <v>183</v>
      </c>
      <c r="F111" s="35"/>
      <c r="G111" s="35"/>
      <c r="H111" s="35"/>
      <c r="J111" s="60"/>
      <c r="K111" s="15"/>
      <c r="L111" s="60"/>
      <c r="M111" s="15"/>
      <c r="N111" s="60"/>
      <c r="O111" s="15"/>
    </row>
    <row r="112" spans="1:15" ht="13.5">
      <c r="A112" s="15" t="s">
        <v>184</v>
      </c>
      <c r="F112" s="35">
        <f>'[2]Medical Workload Data'!F112+'[1]Medical Workload Data'!F107+'[3]Medical Workload Data'!F112</f>
        <v>1263417</v>
      </c>
      <c r="G112" s="35">
        <f>'[2]Medical Workload Data'!G112+'[1]Medical Workload Data'!G107+'[3]Medical Workload Data'!G112</f>
        <v>1298044</v>
      </c>
      <c r="H112" s="35">
        <f>'[2]Medical Workload Data'!H112+'[1]Medical Workload Data'!H107+'[3]Medical Workload Data'!H112</f>
        <v>1320425</v>
      </c>
      <c r="J112" s="60"/>
      <c r="K112" s="15"/>
      <c r="L112" s="60"/>
      <c r="M112" s="15"/>
      <c r="N112" s="60"/>
      <c r="O112" s="15"/>
    </row>
    <row r="113" spans="1:15" ht="13.5">
      <c r="A113" s="15" t="s">
        <v>185</v>
      </c>
      <c r="F113" s="35">
        <f>'[2]Medical Workload Data'!F113+'[1]Medical Workload Data'!F108+'[3]Medical Workload Data'!F113</f>
        <v>963904</v>
      </c>
      <c r="G113" s="35">
        <f>'[2]Medical Workload Data'!G113+'[1]Medical Workload Data'!G108+'[3]Medical Workload Data'!G113</f>
        <v>982645</v>
      </c>
      <c r="H113" s="35">
        <f>'[2]Medical Workload Data'!H113+'[1]Medical Workload Data'!H108+'[3]Medical Workload Data'!H113</f>
        <v>1001537</v>
      </c>
      <c r="J113" s="60"/>
      <c r="K113" s="15"/>
      <c r="L113" s="60"/>
      <c r="M113" s="15"/>
      <c r="N113" s="60"/>
      <c r="O113" s="15"/>
    </row>
    <row r="114" spans="1:15" ht="13.5">
      <c r="A114" s="15" t="s">
        <v>261</v>
      </c>
      <c r="F114" s="35">
        <f>SUM(F112:F113)</f>
        <v>2227321</v>
      </c>
      <c r="G114" s="35">
        <f>SUM(G112:G113)</f>
        <v>2280689</v>
      </c>
      <c r="H114" s="35">
        <f>SUM(H112:H113)</f>
        <v>2321962</v>
      </c>
      <c r="J114" s="60"/>
      <c r="K114" s="15"/>
      <c r="L114" s="60"/>
      <c r="M114" s="15"/>
      <c r="N114" s="60"/>
      <c r="O114" s="15"/>
    </row>
    <row r="115" spans="1:15" ht="13.5">
      <c r="A115" s="18"/>
      <c r="F115" s="35"/>
      <c r="G115" s="35"/>
      <c r="H115" s="35"/>
      <c r="J115" s="60"/>
      <c r="K115" s="15"/>
      <c r="L115" s="60"/>
      <c r="M115" s="15"/>
      <c r="N115" s="60"/>
      <c r="O115" s="15"/>
    </row>
    <row r="116" spans="1:15" s="23" customFormat="1" ht="13.5">
      <c r="A116" s="96" t="s">
        <v>1</v>
      </c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O116" s="60"/>
    </row>
    <row r="117" spans="1:15" s="23" customFormat="1" ht="13.5">
      <c r="A117" s="96" t="s">
        <v>276</v>
      </c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O117" s="60"/>
    </row>
    <row r="118" spans="1:13" ht="13.5">
      <c r="A118" s="96" t="s">
        <v>202</v>
      </c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</row>
    <row r="119" spans="1:13" ht="13.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58"/>
      <c r="L119" s="42"/>
      <c r="M119" s="58"/>
    </row>
    <row r="120" spans="1:13" ht="13.5">
      <c r="A120" s="96" t="s">
        <v>144</v>
      </c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</row>
    <row r="121" spans="1:15" ht="13.5">
      <c r="A121" s="14"/>
      <c r="B121" s="14"/>
      <c r="C121" s="14"/>
      <c r="D121" s="14"/>
      <c r="E121" s="14"/>
      <c r="F121" s="14"/>
      <c r="G121" s="14"/>
      <c r="H121" s="14"/>
      <c r="I121" s="14"/>
      <c r="J121" s="58"/>
      <c r="K121" s="14"/>
      <c r="L121" s="58"/>
      <c r="M121" s="15"/>
      <c r="O121" s="15"/>
    </row>
    <row r="122" spans="1:15" ht="13.5">
      <c r="A122" s="14"/>
      <c r="B122" s="14"/>
      <c r="C122" s="14"/>
      <c r="D122" s="14"/>
      <c r="E122" s="14"/>
      <c r="F122" s="16" t="s">
        <v>201</v>
      </c>
      <c r="G122" s="16" t="s">
        <v>211</v>
      </c>
      <c r="H122" s="16" t="s">
        <v>277</v>
      </c>
      <c r="I122" s="97" t="s">
        <v>212</v>
      </c>
      <c r="J122" s="97"/>
      <c r="K122" s="97" t="s">
        <v>278</v>
      </c>
      <c r="L122" s="97"/>
      <c r="M122" s="15"/>
      <c r="O122" s="15"/>
    </row>
    <row r="123" spans="6:15" ht="13.5">
      <c r="F123" s="17" t="s">
        <v>22</v>
      </c>
      <c r="G123" s="17" t="s">
        <v>23</v>
      </c>
      <c r="H123" s="17" t="s">
        <v>23</v>
      </c>
      <c r="I123" s="17" t="s">
        <v>24</v>
      </c>
      <c r="J123" s="61" t="s">
        <v>25</v>
      </c>
      <c r="K123" s="17" t="s">
        <v>24</v>
      </c>
      <c r="L123" s="61" t="s">
        <v>25</v>
      </c>
      <c r="M123" s="15"/>
      <c r="O123" s="15"/>
    </row>
    <row r="124" spans="1:15" ht="13.5">
      <c r="A124" s="18" t="s">
        <v>147</v>
      </c>
      <c r="F124" s="35"/>
      <c r="G124" s="35"/>
      <c r="H124" s="35"/>
      <c r="J124" s="60"/>
      <c r="K124" s="15"/>
      <c r="L124" s="60"/>
      <c r="M124" s="15"/>
      <c r="O124" s="15"/>
    </row>
    <row r="125" spans="1:15" ht="13.5">
      <c r="A125" s="18"/>
      <c r="F125" s="35"/>
      <c r="G125" s="35"/>
      <c r="H125" s="35"/>
      <c r="J125" s="60"/>
      <c r="K125" s="15"/>
      <c r="L125" s="60"/>
      <c r="M125" s="15"/>
      <c r="N125" s="60"/>
      <c r="O125" s="15"/>
    </row>
    <row r="126" spans="1:15" ht="13.5">
      <c r="A126" s="15" t="s">
        <v>258</v>
      </c>
      <c r="F126" s="35"/>
      <c r="G126" s="35"/>
      <c r="H126" s="35"/>
      <c r="J126" s="60"/>
      <c r="K126" s="15"/>
      <c r="L126" s="60"/>
      <c r="M126" s="15"/>
      <c r="N126" s="60"/>
      <c r="O126" s="15"/>
    </row>
    <row r="127" spans="1:15" ht="13.5">
      <c r="A127" s="15" t="s">
        <v>188</v>
      </c>
      <c r="F127" s="35">
        <v>53882</v>
      </c>
      <c r="H127" s="50" t="s">
        <v>256</v>
      </c>
      <c r="J127" s="60" t="s">
        <v>306</v>
      </c>
      <c r="K127" s="15"/>
      <c r="L127" s="60"/>
      <c r="M127" s="15"/>
      <c r="N127" s="60"/>
      <c r="O127" s="15"/>
    </row>
    <row r="128" spans="1:15" ht="13.5">
      <c r="A128" s="15" t="s">
        <v>189</v>
      </c>
      <c r="F128" s="35">
        <v>3358819</v>
      </c>
      <c r="H128" s="35" t="s">
        <v>257</v>
      </c>
      <c r="J128" s="60" t="s">
        <v>307</v>
      </c>
      <c r="K128" s="15"/>
      <c r="L128" s="60"/>
      <c r="M128" s="15"/>
      <c r="N128" s="60"/>
      <c r="O128" s="15"/>
    </row>
    <row r="129" spans="6:15" ht="13.5">
      <c r="F129" s="35"/>
      <c r="G129" s="35"/>
      <c r="H129" s="35"/>
      <c r="J129" s="60" t="s">
        <v>308</v>
      </c>
      <c r="K129" s="15"/>
      <c r="L129" s="60"/>
      <c r="M129" s="15"/>
      <c r="N129" s="60"/>
      <c r="O129" s="15"/>
    </row>
    <row r="130" spans="1:15" ht="13.5">
      <c r="A130" s="15" t="s">
        <v>259</v>
      </c>
      <c r="F130" s="35"/>
      <c r="G130" s="35"/>
      <c r="H130" s="35"/>
      <c r="J130" s="60"/>
      <c r="K130" s="15"/>
      <c r="L130" s="60"/>
      <c r="M130" s="15"/>
      <c r="N130" s="60"/>
      <c r="O130" s="15"/>
    </row>
    <row r="131" spans="1:15" ht="13.5">
      <c r="A131" s="15" t="s">
        <v>188</v>
      </c>
      <c r="F131" s="35">
        <v>67911</v>
      </c>
      <c r="G131" s="35"/>
      <c r="H131" s="35"/>
      <c r="J131" s="60" t="s">
        <v>306</v>
      </c>
      <c r="K131" s="15"/>
      <c r="L131" s="60"/>
      <c r="M131" s="15"/>
      <c r="N131" s="60"/>
      <c r="O131" s="15"/>
    </row>
    <row r="132" spans="1:15" ht="13.5">
      <c r="A132" s="15" t="s">
        <v>189</v>
      </c>
      <c r="F132" s="35">
        <v>6635188</v>
      </c>
      <c r="G132" s="35"/>
      <c r="H132" s="35"/>
      <c r="J132" s="60" t="s">
        <v>307</v>
      </c>
      <c r="K132" s="15"/>
      <c r="L132" s="60"/>
      <c r="M132" s="15"/>
      <c r="N132" s="60"/>
      <c r="O132" s="15"/>
    </row>
    <row r="133" spans="1:15" ht="13.5">
      <c r="A133" s="18"/>
      <c r="F133" s="35"/>
      <c r="G133" s="35"/>
      <c r="H133" s="35"/>
      <c r="J133" s="60" t="s">
        <v>308</v>
      </c>
      <c r="K133" s="15"/>
      <c r="L133" s="60"/>
      <c r="M133" s="15"/>
      <c r="N133" s="60"/>
      <c r="O133" s="15"/>
    </row>
    <row r="134" spans="1:15" ht="13.5">
      <c r="A134" s="15" t="s">
        <v>245</v>
      </c>
      <c r="F134" s="35"/>
      <c r="G134" s="35"/>
      <c r="H134" s="35"/>
      <c r="J134" s="60"/>
      <c r="K134" s="15"/>
      <c r="L134" s="60"/>
      <c r="M134" s="15"/>
      <c r="N134" s="60"/>
      <c r="O134" s="15"/>
    </row>
    <row r="135" spans="1:15" ht="13.5">
      <c r="A135" s="15" t="s">
        <v>188</v>
      </c>
      <c r="F135" s="35" t="s">
        <v>255</v>
      </c>
      <c r="G135" s="35"/>
      <c r="H135" s="50" t="s">
        <v>260</v>
      </c>
      <c r="J135" s="60"/>
      <c r="K135" s="15"/>
      <c r="L135" s="60"/>
      <c r="M135" s="15"/>
      <c r="N135" s="60"/>
      <c r="O135" s="15"/>
    </row>
    <row r="136" spans="1:15" ht="13.5">
      <c r="A136" s="15" t="s">
        <v>189</v>
      </c>
      <c r="F136" s="35" t="s">
        <v>255</v>
      </c>
      <c r="G136" s="35"/>
      <c r="H136" s="35" t="s">
        <v>257</v>
      </c>
      <c r="J136" s="60"/>
      <c r="K136" s="15"/>
      <c r="L136" s="60"/>
      <c r="M136" s="15"/>
      <c r="N136" s="60"/>
      <c r="O136" s="15"/>
    </row>
    <row r="137" spans="6:15" ht="13.5">
      <c r="F137" s="35"/>
      <c r="G137" s="35"/>
      <c r="H137" s="35"/>
      <c r="J137" s="60"/>
      <c r="K137" s="15"/>
      <c r="L137" s="60"/>
      <c r="M137" s="15"/>
      <c r="N137" s="60"/>
      <c r="O137" s="15"/>
    </row>
    <row r="138" spans="1:15" ht="13.5">
      <c r="A138" s="15" t="s">
        <v>298</v>
      </c>
      <c r="F138" s="35">
        <v>629686</v>
      </c>
      <c r="G138" s="35">
        <v>644876</v>
      </c>
      <c r="H138" s="35"/>
      <c r="J138" s="60"/>
      <c r="K138" s="15"/>
      <c r="L138" s="60"/>
      <c r="M138" s="15"/>
      <c r="N138" s="60"/>
      <c r="O138" s="15"/>
    </row>
    <row r="139" spans="1:15" ht="13.5">
      <c r="A139" s="15" t="s">
        <v>275</v>
      </c>
      <c r="F139" s="35"/>
      <c r="G139" s="35"/>
      <c r="H139" s="35"/>
      <c r="J139" s="60"/>
      <c r="K139" s="15"/>
      <c r="L139" s="60"/>
      <c r="M139" s="15"/>
      <c r="N139" s="60"/>
      <c r="O139" s="15"/>
    </row>
    <row r="140" spans="1:15" ht="13.5">
      <c r="A140" s="15" t="s">
        <v>246</v>
      </c>
      <c r="F140" s="35"/>
      <c r="G140" s="35"/>
      <c r="J140" s="60"/>
      <c r="K140" s="15"/>
      <c r="L140" s="60"/>
      <c r="M140" s="15"/>
      <c r="N140" s="60"/>
      <c r="O140" s="15"/>
    </row>
    <row r="141" spans="1:15" ht="13.5">
      <c r="A141" s="15" t="s">
        <v>190</v>
      </c>
      <c r="F141" s="35">
        <v>94910</v>
      </c>
      <c r="G141" s="35">
        <v>94733</v>
      </c>
      <c r="H141" s="35">
        <v>94733</v>
      </c>
      <c r="J141" s="60"/>
      <c r="K141" s="15"/>
      <c r="L141" s="60"/>
      <c r="M141" s="15"/>
      <c r="N141" s="60"/>
      <c r="O141" s="15"/>
    </row>
    <row r="142" spans="6:9" ht="13.5">
      <c r="F142" s="35"/>
      <c r="G142" s="35"/>
      <c r="H142" s="35"/>
      <c r="I142" s="35"/>
    </row>
    <row r="148" ht="13.5">
      <c r="A148" s="15" t="s">
        <v>198</v>
      </c>
    </row>
  </sheetData>
  <mergeCells count="24">
    <mergeCell ref="A82:M82"/>
    <mergeCell ref="A83:M83"/>
    <mergeCell ref="I89:J89"/>
    <mergeCell ref="K89:L89"/>
    <mergeCell ref="A84:M84"/>
    <mergeCell ref="A86:M86"/>
    <mergeCell ref="I122:J122"/>
    <mergeCell ref="K122:L122"/>
    <mergeCell ref="A2:M2"/>
    <mergeCell ref="A1:M1"/>
    <mergeCell ref="A5:M5"/>
    <mergeCell ref="A3:M3"/>
    <mergeCell ref="A37:M37"/>
    <mergeCell ref="A38:M38"/>
    <mergeCell ref="I45:J45"/>
    <mergeCell ref="K45:L45"/>
    <mergeCell ref="A116:M116"/>
    <mergeCell ref="A117:M117"/>
    <mergeCell ref="A118:M118"/>
    <mergeCell ref="A120:M120"/>
    <mergeCell ref="A39:M39"/>
    <mergeCell ref="A41:M41"/>
    <mergeCell ref="K9:L9"/>
    <mergeCell ref="I9:J9"/>
  </mergeCells>
  <printOptions horizontalCentered="1"/>
  <pageMargins left="0.8" right="0.8" top="1" bottom="1" header="0.8" footer="0.8"/>
  <pageSetup firstPageNumber="1" useFirstPageNumber="1" horizontalDpi="600" verticalDpi="600" orientation="landscape" scale="70" r:id="rId2"/>
  <headerFooter alignWithMargins="0">
    <oddFooter>&amp;R&amp;"Courier New,Regular"&amp;12Exhibit PB-11B Medical Workload Data
(Page &amp;P of 4)</oddFooter>
  </headerFooter>
  <rowBreaks count="3" manualBreakCount="3">
    <brk id="36" max="255" man="1"/>
    <brk id="81" max="255" man="1"/>
    <brk id="115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DoD - Health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scoyle</dc:creator>
  <cp:keywords/>
  <dc:description/>
  <cp:lastModifiedBy>astorey</cp:lastModifiedBy>
  <cp:lastPrinted>2002-02-14T20:28:25Z</cp:lastPrinted>
  <dcterms:created xsi:type="dcterms:W3CDTF">1998-06-17T12:01:26Z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