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DD 1416 0300D-03-31-12 To OMB" sheetId="1" r:id="rId1"/>
  </sheets>
  <calcPr calcId="125725"/>
</workbook>
</file>

<file path=xl/calcChain.xml><?xml version="1.0" encoding="utf-8"?>
<calcChain xmlns="http://schemas.openxmlformats.org/spreadsheetml/2006/main">
  <c r="I114" i="1"/>
  <c r="G114"/>
  <c r="K114" s="1"/>
  <c r="C112"/>
  <c r="J111"/>
  <c r="K111" s="1"/>
  <c r="K110"/>
  <c r="K109"/>
  <c r="K108"/>
  <c r="K107"/>
  <c r="J107"/>
  <c r="J112" s="1"/>
  <c r="K106"/>
  <c r="H104"/>
  <c r="F104"/>
  <c r="E104"/>
  <c r="D104"/>
  <c r="C104"/>
  <c r="K103"/>
  <c r="J102"/>
  <c r="K102" s="1"/>
  <c r="J101"/>
  <c r="I101"/>
  <c r="G101"/>
  <c r="K101" s="1"/>
  <c r="J100"/>
  <c r="K100" s="1"/>
  <c r="K99"/>
  <c r="K98"/>
  <c r="J98"/>
  <c r="K97"/>
  <c r="J97"/>
  <c r="K96"/>
  <c r="J95"/>
  <c r="K95" s="1"/>
  <c r="K94"/>
  <c r="K93"/>
  <c r="J93"/>
  <c r="K92"/>
  <c r="J92"/>
  <c r="K91"/>
  <c r="J91"/>
  <c r="K90"/>
  <c r="J90"/>
  <c r="J89"/>
  <c r="I89"/>
  <c r="G89"/>
  <c r="K89" s="1"/>
  <c r="K88"/>
  <c r="K87"/>
  <c r="K86"/>
  <c r="J85"/>
  <c r="G85"/>
  <c r="K85" s="1"/>
  <c r="J84"/>
  <c r="I84"/>
  <c r="K84" s="1"/>
  <c r="G84"/>
  <c r="G104" s="1"/>
  <c r="K83"/>
  <c r="J83"/>
  <c r="K82"/>
  <c r="J82"/>
  <c r="K81"/>
  <c r="K80"/>
  <c r="K79"/>
  <c r="K78"/>
  <c r="K77"/>
  <c r="J77"/>
  <c r="K76"/>
  <c r="J75"/>
  <c r="K75" s="1"/>
  <c r="K74"/>
  <c r="K73"/>
  <c r="J73"/>
  <c r="K72"/>
  <c r="J71"/>
  <c r="K71" s="1"/>
  <c r="K70"/>
  <c r="K69"/>
  <c r="J69"/>
  <c r="K68"/>
  <c r="J68"/>
  <c r="K67"/>
  <c r="J67"/>
  <c r="J104" s="1"/>
  <c r="J63"/>
  <c r="I63"/>
  <c r="H63"/>
  <c r="G63"/>
  <c r="F63"/>
  <c r="E63"/>
  <c r="D63"/>
  <c r="C63"/>
  <c r="K62"/>
  <c r="K61"/>
  <c r="K60"/>
  <c r="K63" s="1"/>
  <c r="J58"/>
  <c r="I58"/>
  <c r="H58"/>
  <c r="G58"/>
  <c r="F58"/>
  <c r="E58"/>
  <c r="D58"/>
  <c r="K57"/>
  <c r="K58" s="1"/>
  <c r="K55"/>
  <c r="J55"/>
  <c r="I55"/>
  <c r="H55"/>
  <c r="G55"/>
  <c r="F55"/>
  <c r="E55"/>
  <c r="D55"/>
  <c r="C55"/>
  <c r="K54"/>
  <c r="K52"/>
  <c r="J52"/>
  <c r="I52"/>
  <c r="H52"/>
  <c r="G52"/>
  <c r="F52"/>
  <c r="E52"/>
  <c r="D52"/>
  <c r="C52"/>
  <c r="K51"/>
  <c r="D49"/>
  <c r="C49"/>
  <c r="K48"/>
  <c r="J46"/>
  <c r="I46"/>
  <c r="H46"/>
  <c r="G46"/>
  <c r="F46"/>
  <c r="E46"/>
  <c r="D46"/>
  <c r="C46"/>
  <c r="K45"/>
  <c r="K46" s="1"/>
  <c r="J43"/>
  <c r="I43"/>
  <c r="H43"/>
  <c r="G43"/>
  <c r="F43"/>
  <c r="E43"/>
  <c r="D43"/>
  <c r="C43"/>
  <c r="K42"/>
  <c r="K41"/>
  <c r="K43" s="1"/>
  <c r="J39"/>
  <c r="I39"/>
  <c r="H39"/>
  <c r="G39"/>
  <c r="F39"/>
  <c r="E39"/>
  <c r="D39"/>
  <c r="K38"/>
  <c r="K39" s="1"/>
  <c r="J36"/>
  <c r="I36"/>
  <c r="H36"/>
  <c r="G36"/>
  <c r="F36"/>
  <c r="E36"/>
  <c r="D36"/>
  <c r="C36"/>
  <c r="K35"/>
  <c r="K36" s="1"/>
  <c r="J33"/>
  <c r="I33"/>
  <c r="H33"/>
  <c r="G33"/>
  <c r="F33"/>
  <c r="E33"/>
  <c r="D33"/>
  <c r="C33"/>
  <c r="K32"/>
  <c r="K33" s="1"/>
  <c r="J30"/>
  <c r="I30"/>
  <c r="H30"/>
  <c r="G30"/>
  <c r="F30"/>
  <c r="E30"/>
  <c r="D30"/>
  <c r="C30"/>
  <c r="K29"/>
  <c r="K30" s="1"/>
  <c r="H27"/>
  <c r="G27"/>
  <c r="F27"/>
  <c r="E27"/>
  <c r="D27"/>
  <c r="C27"/>
  <c r="K26"/>
  <c r="K25"/>
  <c r="K24"/>
  <c r="I24"/>
  <c r="I27" s="1"/>
  <c r="K23"/>
  <c r="J22"/>
  <c r="K22" s="1"/>
  <c r="K21"/>
  <c r="K20"/>
  <c r="J20"/>
  <c r="K19"/>
  <c r="J19"/>
  <c r="K18"/>
  <c r="J17"/>
  <c r="J27" s="1"/>
  <c r="K16"/>
  <c r="J14"/>
  <c r="I14"/>
  <c r="H14"/>
  <c r="G14"/>
  <c r="F14"/>
  <c r="E14"/>
  <c r="D14"/>
  <c r="C14"/>
  <c r="K13"/>
  <c r="K14" s="1"/>
  <c r="J10"/>
  <c r="J65" s="1"/>
  <c r="J116" s="1"/>
  <c r="I10"/>
  <c r="H10"/>
  <c r="H65" s="1"/>
  <c r="H116" s="1"/>
  <c r="F10"/>
  <c r="F65" s="1"/>
  <c r="F116" s="1"/>
  <c r="E10"/>
  <c r="E65" s="1"/>
  <c r="E116" s="1"/>
  <c r="D10"/>
  <c r="D65" s="1"/>
  <c r="D116" s="1"/>
  <c r="C10"/>
  <c r="C65" s="1"/>
  <c r="C116" s="1"/>
  <c r="G9"/>
  <c r="K9" s="1"/>
  <c r="G8"/>
  <c r="G10" s="1"/>
  <c r="G65" s="1"/>
  <c r="G116" s="1"/>
  <c r="I65" l="1"/>
  <c r="K104"/>
  <c r="K8"/>
  <c r="K10" s="1"/>
  <c r="K17"/>
  <c r="K27" s="1"/>
  <c r="I104"/>
  <c r="I116" l="1"/>
  <c r="K65"/>
  <c r="K116" s="1"/>
</calcChain>
</file>

<file path=xl/sharedStrings.xml><?xml version="1.0" encoding="utf-8"?>
<sst xmlns="http://schemas.openxmlformats.org/spreadsheetml/2006/main" count="120" uniqueCount="113">
  <si>
    <t>AGENCY</t>
  </si>
  <si>
    <t>PROGRAM TITLE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</si>
  <si>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</si>
  <si>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</si>
  <si>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</si>
  <si>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</si>
  <si>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</si>
  <si>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</si>
  <si>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</si>
  <si>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</si>
  <si>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</si>
  <si>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OFFICE OF THE SECRETARY OF DEFENSE</t>
  </si>
  <si>
    <t>MAJOR EQUIPMENT</t>
  </si>
  <si>
    <t>MAJOR EQUIPMENT INTELLIGENCE</t>
  </si>
  <si>
    <t>TOTAL OSD</t>
  </si>
  <si>
    <t>WASHINGTON HEADQUARTERS SERVICE</t>
  </si>
  <si>
    <t>MOTOR VEHICLES</t>
  </si>
  <si>
    <t>TOTAL WHS</t>
  </si>
  <si>
    <t>DEFENSE INFORMATION AGENCY</t>
  </si>
  <si>
    <t>INFORMATION SYSTEMS SECURITY</t>
  </si>
  <si>
    <t>GLOBAL COMMAND AND CONTROL SYSTEM</t>
  </si>
  <si>
    <t>GLOBAL COMBAT SUPPORT SYSTEM</t>
  </si>
  <si>
    <t>TELEPORT PROGRAM</t>
  </si>
  <si>
    <t>ITEMS LESS THAN $5 MILLION</t>
  </si>
  <si>
    <t>NET CENTRIC ENTERPRISE SERVICES (NCES)</t>
  </si>
  <si>
    <t>DEFENSE INFORMATION SYSTEM NETWORK (DISN)</t>
  </si>
  <si>
    <t>PUBLIC KEY INFRASTRUCTURE</t>
  </si>
  <si>
    <t>COUNTER DRUG SPT/ADNET</t>
  </si>
  <si>
    <t>JOINT COMMAND AND CONTROL PROGRAM</t>
  </si>
  <si>
    <t>CYBER SECURITY INITIATIVE</t>
  </si>
  <si>
    <t>TOTAL DISA</t>
  </si>
  <si>
    <t>DEFENSE LOGISTICS AGENCY</t>
  </si>
  <si>
    <t>TOTAL DLA</t>
  </si>
  <si>
    <t>DEFENSE CONTRACT AUDIT AGENCY</t>
  </si>
  <si>
    <t>ITEM LESS THAN $5 MILLION</t>
  </si>
  <si>
    <t>TOTAL DCAA</t>
  </si>
  <si>
    <t>THE JOINT STAFF</t>
  </si>
  <si>
    <t>TOTAL JOINT STAFF</t>
  </si>
  <si>
    <t>DEFENSE HUMAN RESOURCES ACTIVITY</t>
  </si>
  <si>
    <t>PERSONNEL ADMINISTRATION</t>
  </si>
  <si>
    <t>TOTAL DHRA</t>
  </si>
  <si>
    <t>DEFENSE THREAT REDUCTION AGENCY</t>
  </si>
  <si>
    <t>VEHICLES</t>
  </si>
  <si>
    <t>OTHER MAJOR EQUIPMENT</t>
  </si>
  <si>
    <t>TOTAL DTRA</t>
  </si>
  <si>
    <t>DEFENSE MEDIA AGENCY/AFIS</t>
  </si>
  <si>
    <t>TOTAL AFIS/DMA</t>
  </si>
  <si>
    <t xml:space="preserve">DEPARTMENT OF DEFENSE DEPENDENTS EDUCATION </t>
  </si>
  <si>
    <t>AUTOMATION/EDUCATIONAL SUPPORT AND LOGISTICS</t>
  </si>
  <si>
    <t>TOTAL DODEA</t>
  </si>
  <si>
    <t>DEFENSE CONTRACTING MANAGENT AGENCY</t>
  </si>
  <si>
    <t>TOTAL DCMA</t>
  </si>
  <si>
    <t>BUSINESS TRANSFORMATION AGENCY</t>
  </si>
  <si>
    <t>TOTAL BTA</t>
  </si>
  <si>
    <t>DEFENSE TECHNOLOGY SECURITY AGENCY</t>
  </si>
  <si>
    <t>TOTAL DTSA</t>
  </si>
  <si>
    <t>MISSLE DEFENSE AGENCY</t>
  </si>
  <si>
    <t>THAAD</t>
  </si>
  <si>
    <t>AGEIS</t>
  </si>
  <si>
    <t xml:space="preserve">AN/TPY-2 RADAR </t>
  </si>
  <si>
    <t>TOTAL MDA</t>
  </si>
  <si>
    <t>TOTAL MAJOR EQUIPMENT - TOTAL BA 1</t>
  </si>
  <si>
    <t>U.S. SPECIAL OPERATIONS COMMAND</t>
  </si>
  <si>
    <t>ROTARY WING UPGRADES AND SUSTAINMENT</t>
  </si>
  <si>
    <t>MH-47 SERVIVE LIFE EXTENSION PROGRAM</t>
  </si>
  <si>
    <t>MH-60 SOF MODERNIZATION PROGRAM</t>
  </si>
  <si>
    <t>NON-STANDARD AVIATION</t>
  </si>
  <si>
    <t>SOF TANKER RECAPITALIZATION</t>
  </si>
  <si>
    <t>SOF U-28</t>
  </si>
  <si>
    <t>CV-22 SOF MOD</t>
  </si>
  <si>
    <t>MQ-1 UAV</t>
  </si>
  <si>
    <t>MQ-9 UAV</t>
  </si>
  <si>
    <t>STUASLO</t>
  </si>
  <si>
    <t>C-130 MODIFICATIONS</t>
  </si>
  <si>
    <t>AIRCRAFT SUPPORT</t>
  </si>
  <si>
    <t>ADVANCED SEAL DELIVERY SYSTEM (ASDS)</t>
  </si>
  <si>
    <t>MK8 MOD1 SEAL DELIVERY VEHICLE</t>
  </si>
  <si>
    <t>SOF ORDANCE REPLENISHMENT</t>
  </si>
  <si>
    <t>SOF ORDANCE ACQUISITION</t>
  </si>
  <si>
    <t>COMMUNCIATIONS EQUIPMENT AND ELECTRONICS</t>
  </si>
  <si>
    <t>SOF INTELLIGENCE SYSTEMS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</si>
  <si>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</si>
  <si>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</si>
  <si>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</si>
  <si>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</si>
  <si>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</si>
  <si>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MISSION TRAINING AND PREPARATION SYSTEMS</t>
  </si>
  <si>
    <t>COMBAT MISSION REQUIREMENTS</t>
  </si>
  <si>
    <t>MILCON COLLATERAL EQUIPMENT</t>
  </si>
  <si>
    <t>SOF AUTOMATION SYSTEMS</t>
  </si>
  <si>
    <t>SOF GLOBAL VIDEO SURVEILLANCE ACTIVITIES</t>
  </si>
  <si>
    <t>SOF OPERATIONAL EHANCEMENTS INTELLIGENCE</t>
  </si>
  <si>
    <t>SOF SOLDIER PROTECTION AND SURVIVAL SYSTEMS</t>
  </si>
  <si>
    <t>SOF VISUAL AUGMENTATION LASERS AND SENSOR SYSTEMS</t>
  </si>
  <si>
    <t>SOF TACTICAL RADIO SYSTEMS</t>
  </si>
  <si>
    <t>SOF MARITIME EQUIPMENT</t>
  </si>
  <si>
    <t>MISCELLANEOUS EQUIPMENT</t>
  </si>
  <si>
    <t>SOF OPERATIONAL ENHANCEMENTS</t>
  </si>
  <si>
    <t>PSYOP EQUIPMENT</t>
  </si>
  <si>
    <t>COUNTER DRUG SUPPORT</t>
  </si>
  <si>
    <t>TOTAL SPECIAL OPERATIONS COMMAND - TOTAL BA 2</t>
  </si>
  <si>
    <t>CHEMICAL &amp; BIOLOGICAL DEFENSE PROGRAM</t>
  </si>
  <si>
    <t>INSTALLATION FORCE PROTECTION</t>
  </si>
  <si>
    <t>INDIVIDUAL PROTECTION</t>
  </si>
  <si>
    <t>DECONTAMINATION</t>
  </si>
  <si>
    <t>JOINT BIOLOGICAL DEFENSE PROGRAM</t>
  </si>
  <si>
    <t>COLLECTIVE PROTECTION</t>
  </si>
  <si>
    <t>CONTAMINATION AVOIDANCE</t>
  </si>
  <si>
    <t>TOTAL CHEMICAL BIOLOGICAL DEFENSE - TOTAL BA 3</t>
  </si>
  <si>
    <t>CLASSIFIED PROGRAMS</t>
  </si>
  <si>
    <t>TOTAL CLASSIFIED PROGRAMS</t>
  </si>
  <si>
    <t>TOTAL AGENCIES</t>
  </si>
  <si>
    <t>TOTAL PROCUREMENT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</si>
</sst>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7" fontId="2" fillId="0" borderId="0" xfId="0" applyNumberFormat="1" applyFont="1"/>
    <xf numFmtId="37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7" fontId="1" fillId="0" borderId="2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6" xfId="0" applyFont="1" applyFill="1" applyBorder="1"/>
    <xf numFmtId="37" fontId="2" fillId="0" borderId="7" xfId="0" applyNumberFormat="1" applyFont="1" applyBorder="1"/>
    <xf numFmtId="0" fontId="1" fillId="0" borderId="8" xfId="0" applyFont="1" applyBorder="1" applyAlignment="1">
      <alignment horizontal="left"/>
    </xf>
    <xf numFmtId="3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Fill="1" applyBorder="1"/>
    <xf numFmtId="0" fontId="0" fillId="0" borderId="0" xfId="0" applyAlignment="1">
      <alignment horizontal="left"/>
    </xf>
    <xf numFmtId="37" fontId="2" fillId="0" borderId="8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/>
    <xf numFmtId="37" fontId="2" fillId="0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7" fontId="1" fillId="2" borderId="8" xfId="0" applyNumberFormat="1" applyFont="1" applyFill="1" applyBorder="1"/>
    <xf numFmtId="0" fontId="1" fillId="0" borderId="0" xfId="0" applyFont="1"/>
    <xf numFmtId="3" fontId="2" fillId="0" borderId="7" xfId="0" applyNumberFormat="1" applyFont="1" applyBorder="1" applyAlignment="1">
      <alignment horizontal="left" vertical="top"/>
    </xf>
    <xf numFmtId="0" fontId="1" fillId="2" borderId="0" xfId="0" applyFont="1" applyFill="1"/>
    <xf numFmtId="0" fontId="0" fillId="0" borderId="0" xfId="0" applyBorder="1"/>
    <xf numFmtId="37" fontId="2" fillId="0" borderId="7" xfId="0" applyNumberFormat="1" applyFont="1" applyFill="1" applyBorder="1"/>
    <xf numFmtId="0" fontId="0" fillId="0" borderId="0" xfId="0" applyFill="1" applyBorder="1"/>
    <xf numFmtId="3" fontId="3" fillId="0" borderId="7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/>
    </xf>
    <xf numFmtId="37" fontId="1" fillId="0" borderId="8" xfId="0" applyNumberFormat="1" applyFont="1" applyBorder="1"/>
    <xf numFmtId="37" fontId="1" fillId="0" borderId="8" xfId="0" applyNumberFormat="1" applyFont="1" applyFill="1" applyBorder="1"/>
    <xf numFmtId="37" fontId="1" fillId="0" borderId="7" xfId="0" applyNumberFormat="1" applyFont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4" fillId="3" borderId="2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left" vertical="top"/>
    </xf>
    <xf numFmtId="37" fontId="1" fillId="3" borderId="2" xfId="0" applyNumberFormat="1" applyFont="1" applyFill="1" applyBorder="1"/>
    <xf numFmtId="37" fontId="1" fillId="2" borderId="2" xfId="0" applyNumberFormat="1" applyFont="1" applyFill="1" applyBorder="1"/>
    <xf numFmtId="0" fontId="1" fillId="0" borderId="0" xfId="0" applyFont="1" applyFill="1"/>
    <xf numFmtId="0" fontId="4" fillId="0" borderId="8" xfId="0" applyFont="1" applyBorder="1" applyAlignment="1">
      <alignment horizontal="left"/>
    </xf>
    <xf numFmtId="3" fontId="2" fillId="0" borderId="7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37" fontId="1" fillId="0" borderId="0" xfId="0" applyNumberFormat="1" applyFont="1"/>
    <xf numFmtId="3" fontId="1" fillId="0" borderId="8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 vertical="top"/>
    </xf>
    <xf numFmtId="37" fontId="1" fillId="2" borderId="2" xfId="0" applyNumberFormat="1" applyFont="1" applyFill="1" applyBorder="1" applyAlignment="1">
      <alignment horizontal="left"/>
    </xf>
    <xf numFmtId="37" fontId="1" fillId="2" borderId="3" xfId="0" applyNumberFormat="1" applyFont="1" applyFill="1" applyBorder="1" applyAlignment="1">
      <alignment horizontal="left" vertical="top"/>
    </xf>
    <xf numFmtId="37" fontId="1" fillId="2" borderId="4" xfId="0" applyNumberFormat="1" applyFont="1" applyFill="1" applyBorder="1"/>
    <xf numFmtId="37" fontId="1" fillId="2" borderId="3" xfId="0" applyNumberFormat="1" applyFont="1" applyFill="1" applyBorder="1"/>
    <xf numFmtId="37" fontId="1" fillId="0" borderId="0" xfId="0" applyNumberFormat="1" applyFont="1" applyFill="1"/>
    <xf numFmtId="37" fontId="1" fillId="0" borderId="9" xfId="0" applyNumberFormat="1" applyFont="1" applyFill="1" applyBorder="1" applyAlignment="1">
      <alignment horizontal="left"/>
    </xf>
    <xf numFmtId="37" fontId="1" fillId="0" borderId="7" xfId="0" applyNumberFormat="1" applyFont="1" applyFill="1" applyBorder="1" applyAlignment="1">
      <alignment horizontal="left" vertical="top"/>
    </xf>
    <xf numFmtId="37" fontId="1" fillId="0" borderId="7" xfId="0" applyNumberFormat="1" applyFont="1" applyFill="1" applyBorder="1"/>
    <xf numFmtId="37" fontId="2" fillId="0" borderId="0" xfId="0" applyNumberFormat="1" applyFont="1" applyFill="1"/>
    <xf numFmtId="37" fontId="1" fillId="3" borderId="5" xfId="0" applyNumberFormat="1" applyFont="1" applyFill="1" applyBorder="1" applyAlignment="1">
      <alignment horizontal="left"/>
    </xf>
    <xf numFmtId="37" fontId="1" fillId="3" borderId="3" xfId="0" applyNumberFormat="1" applyFont="1" applyFill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9"/>
  <sheetViews>
    <sheetView tabSelected="1" workbookViewId="0"/>
  </sheetViews>
  <sheetFormatPr defaultRowHeight="12.75"/>
  <cols>
    <col min="1" max="1" width="51.140625" style="1" customWidth="1"/>
    <col min="2" max="2" width="56.7109375" style="2" customWidth="1"/>
    <col min="3" max="3" width="12.42578125" style="2" customWidth="1"/>
    <col min="4" max="4" width="14.5703125" style="2" customWidth="1"/>
    <col min="5" max="5" width="15.85546875" style="2" customWidth="1"/>
    <col min="6" max="6" width="15.42578125" style="2" customWidth="1"/>
    <col min="7" max="7" width="14.85546875" style="2" customWidth="1"/>
    <col min="8" max="8" width="15.42578125" style="2" customWidth="1"/>
    <col min="9" max="9" width="14.140625" style="4" customWidth="1"/>
    <col min="10" max="10" width="14.28515625" style="4" customWidth="1"/>
    <col min="11" max="11" width="11.5703125" style="6" customWidth="1"/>
    <col min="12" max="12" width="10.28515625" style="2" customWidth="1"/>
    <col min="13" max="13" width="9.7109375" style="2" bestFit="1" customWidth="1"/>
    <col min="14" max="256" width="9.140625" style="2"/>
    <col min="257" max="257" width="51.140625" style="2" customWidth="1"/>
    <col min="258" max="258" width="56.7109375" style="2" customWidth="1"/>
    <col min="259" max="259" width="12.42578125" style="2" customWidth="1"/>
    <col min="260" max="260" width="14.5703125" style="2" customWidth="1"/>
    <col min="261" max="261" width="15.85546875" style="2" customWidth="1"/>
    <col min="262" max="262" width="15.42578125" style="2" customWidth="1"/>
    <col min="263" max="263" width="14.85546875" style="2" customWidth="1"/>
    <col min="264" max="264" width="15.42578125" style="2" customWidth="1"/>
    <col min="265" max="265" width="14.140625" style="2" customWidth="1"/>
    <col min="266" max="266" width="14.28515625" style="2" customWidth="1"/>
    <col min="267" max="267" width="11.5703125" style="2" customWidth="1"/>
    <col min="268" max="268" width="10.28515625" style="2" customWidth="1"/>
    <col min="269" max="269" width="9.7109375" style="2" bestFit="1" customWidth="1"/>
    <col min="270" max="512" width="9.140625" style="2"/>
    <col min="513" max="513" width="51.140625" style="2" customWidth="1"/>
    <col min="514" max="514" width="56.7109375" style="2" customWidth="1"/>
    <col min="515" max="515" width="12.42578125" style="2" customWidth="1"/>
    <col min="516" max="516" width="14.5703125" style="2" customWidth="1"/>
    <col min="517" max="517" width="15.85546875" style="2" customWidth="1"/>
    <col min="518" max="518" width="15.42578125" style="2" customWidth="1"/>
    <col min="519" max="519" width="14.85546875" style="2" customWidth="1"/>
    <col min="520" max="520" width="15.42578125" style="2" customWidth="1"/>
    <col min="521" max="521" width="14.140625" style="2" customWidth="1"/>
    <col min="522" max="522" width="14.28515625" style="2" customWidth="1"/>
    <col min="523" max="523" width="11.5703125" style="2" customWidth="1"/>
    <col min="524" max="524" width="10.28515625" style="2" customWidth="1"/>
    <col min="525" max="525" width="9.7109375" style="2" bestFit="1" customWidth="1"/>
    <col min="526" max="768" width="9.140625" style="2"/>
    <col min="769" max="769" width="51.140625" style="2" customWidth="1"/>
    <col min="770" max="770" width="56.7109375" style="2" customWidth="1"/>
    <col min="771" max="771" width="12.42578125" style="2" customWidth="1"/>
    <col min="772" max="772" width="14.5703125" style="2" customWidth="1"/>
    <col min="773" max="773" width="15.85546875" style="2" customWidth="1"/>
    <col min="774" max="774" width="15.42578125" style="2" customWidth="1"/>
    <col min="775" max="775" width="14.85546875" style="2" customWidth="1"/>
    <col min="776" max="776" width="15.42578125" style="2" customWidth="1"/>
    <col min="777" max="777" width="14.140625" style="2" customWidth="1"/>
    <col min="778" max="778" width="14.28515625" style="2" customWidth="1"/>
    <col min="779" max="779" width="11.5703125" style="2" customWidth="1"/>
    <col min="780" max="780" width="10.28515625" style="2" customWidth="1"/>
    <col min="781" max="781" width="9.7109375" style="2" bestFit="1" customWidth="1"/>
    <col min="782" max="1024" width="9.140625" style="2"/>
    <col min="1025" max="1025" width="51.140625" style="2" customWidth="1"/>
    <col min="1026" max="1026" width="56.7109375" style="2" customWidth="1"/>
    <col min="1027" max="1027" width="12.42578125" style="2" customWidth="1"/>
    <col min="1028" max="1028" width="14.5703125" style="2" customWidth="1"/>
    <col min="1029" max="1029" width="15.85546875" style="2" customWidth="1"/>
    <col min="1030" max="1030" width="15.42578125" style="2" customWidth="1"/>
    <col min="1031" max="1031" width="14.85546875" style="2" customWidth="1"/>
    <col min="1032" max="1032" width="15.42578125" style="2" customWidth="1"/>
    <col min="1033" max="1033" width="14.140625" style="2" customWidth="1"/>
    <col min="1034" max="1034" width="14.28515625" style="2" customWidth="1"/>
    <col min="1035" max="1035" width="11.5703125" style="2" customWidth="1"/>
    <col min="1036" max="1036" width="10.28515625" style="2" customWidth="1"/>
    <col min="1037" max="1037" width="9.7109375" style="2" bestFit="1" customWidth="1"/>
    <col min="1038" max="1280" width="9.140625" style="2"/>
    <col min="1281" max="1281" width="51.140625" style="2" customWidth="1"/>
    <col min="1282" max="1282" width="56.7109375" style="2" customWidth="1"/>
    <col min="1283" max="1283" width="12.42578125" style="2" customWidth="1"/>
    <col min="1284" max="1284" width="14.5703125" style="2" customWidth="1"/>
    <col min="1285" max="1285" width="15.85546875" style="2" customWidth="1"/>
    <col min="1286" max="1286" width="15.42578125" style="2" customWidth="1"/>
    <col min="1287" max="1287" width="14.85546875" style="2" customWidth="1"/>
    <col min="1288" max="1288" width="15.42578125" style="2" customWidth="1"/>
    <col min="1289" max="1289" width="14.140625" style="2" customWidth="1"/>
    <col min="1290" max="1290" width="14.28515625" style="2" customWidth="1"/>
    <col min="1291" max="1291" width="11.5703125" style="2" customWidth="1"/>
    <col min="1292" max="1292" width="10.28515625" style="2" customWidth="1"/>
    <col min="1293" max="1293" width="9.7109375" style="2" bestFit="1" customWidth="1"/>
    <col min="1294" max="1536" width="9.140625" style="2"/>
    <col min="1537" max="1537" width="51.140625" style="2" customWidth="1"/>
    <col min="1538" max="1538" width="56.7109375" style="2" customWidth="1"/>
    <col min="1539" max="1539" width="12.42578125" style="2" customWidth="1"/>
    <col min="1540" max="1540" width="14.5703125" style="2" customWidth="1"/>
    <col min="1541" max="1541" width="15.85546875" style="2" customWidth="1"/>
    <col min="1542" max="1542" width="15.42578125" style="2" customWidth="1"/>
    <col min="1543" max="1543" width="14.85546875" style="2" customWidth="1"/>
    <col min="1544" max="1544" width="15.42578125" style="2" customWidth="1"/>
    <col min="1545" max="1545" width="14.140625" style="2" customWidth="1"/>
    <col min="1546" max="1546" width="14.28515625" style="2" customWidth="1"/>
    <col min="1547" max="1547" width="11.5703125" style="2" customWidth="1"/>
    <col min="1548" max="1548" width="10.28515625" style="2" customWidth="1"/>
    <col min="1549" max="1549" width="9.7109375" style="2" bestFit="1" customWidth="1"/>
    <col min="1550" max="1792" width="9.140625" style="2"/>
    <col min="1793" max="1793" width="51.140625" style="2" customWidth="1"/>
    <col min="1794" max="1794" width="56.7109375" style="2" customWidth="1"/>
    <col min="1795" max="1795" width="12.42578125" style="2" customWidth="1"/>
    <col min="1796" max="1796" width="14.5703125" style="2" customWidth="1"/>
    <col min="1797" max="1797" width="15.85546875" style="2" customWidth="1"/>
    <col min="1798" max="1798" width="15.42578125" style="2" customWidth="1"/>
    <col min="1799" max="1799" width="14.85546875" style="2" customWidth="1"/>
    <col min="1800" max="1800" width="15.42578125" style="2" customWidth="1"/>
    <col min="1801" max="1801" width="14.140625" style="2" customWidth="1"/>
    <col min="1802" max="1802" width="14.28515625" style="2" customWidth="1"/>
    <col min="1803" max="1803" width="11.5703125" style="2" customWidth="1"/>
    <col min="1804" max="1804" width="10.28515625" style="2" customWidth="1"/>
    <col min="1805" max="1805" width="9.7109375" style="2" bestFit="1" customWidth="1"/>
    <col min="1806" max="2048" width="9.140625" style="2"/>
    <col min="2049" max="2049" width="51.140625" style="2" customWidth="1"/>
    <col min="2050" max="2050" width="56.7109375" style="2" customWidth="1"/>
    <col min="2051" max="2051" width="12.42578125" style="2" customWidth="1"/>
    <col min="2052" max="2052" width="14.5703125" style="2" customWidth="1"/>
    <col min="2053" max="2053" width="15.85546875" style="2" customWidth="1"/>
    <col min="2054" max="2054" width="15.42578125" style="2" customWidth="1"/>
    <col min="2055" max="2055" width="14.85546875" style="2" customWidth="1"/>
    <col min="2056" max="2056" width="15.42578125" style="2" customWidth="1"/>
    <col min="2057" max="2057" width="14.140625" style="2" customWidth="1"/>
    <col min="2058" max="2058" width="14.28515625" style="2" customWidth="1"/>
    <col min="2059" max="2059" width="11.5703125" style="2" customWidth="1"/>
    <col min="2060" max="2060" width="10.28515625" style="2" customWidth="1"/>
    <col min="2061" max="2061" width="9.7109375" style="2" bestFit="1" customWidth="1"/>
    <col min="2062" max="2304" width="9.140625" style="2"/>
    <col min="2305" max="2305" width="51.140625" style="2" customWidth="1"/>
    <col min="2306" max="2306" width="56.7109375" style="2" customWidth="1"/>
    <col min="2307" max="2307" width="12.42578125" style="2" customWidth="1"/>
    <col min="2308" max="2308" width="14.5703125" style="2" customWidth="1"/>
    <col min="2309" max="2309" width="15.85546875" style="2" customWidth="1"/>
    <col min="2310" max="2310" width="15.42578125" style="2" customWidth="1"/>
    <col min="2311" max="2311" width="14.85546875" style="2" customWidth="1"/>
    <col min="2312" max="2312" width="15.42578125" style="2" customWidth="1"/>
    <col min="2313" max="2313" width="14.140625" style="2" customWidth="1"/>
    <col min="2314" max="2314" width="14.28515625" style="2" customWidth="1"/>
    <col min="2315" max="2315" width="11.5703125" style="2" customWidth="1"/>
    <col min="2316" max="2316" width="10.28515625" style="2" customWidth="1"/>
    <col min="2317" max="2317" width="9.7109375" style="2" bestFit="1" customWidth="1"/>
    <col min="2318" max="2560" width="9.140625" style="2"/>
    <col min="2561" max="2561" width="51.140625" style="2" customWidth="1"/>
    <col min="2562" max="2562" width="56.7109375" style="2" customWidth="1"/>
    <col min="2563" max="2563" width="12.42578125" style="2" customWidth="1"/>
    <col min="2564" max="2564" width="14.5703125" style="2" customWidth="1"/>
    <col min="2565" max="2565" width="15.85546875" style="2" customWidth="1"/>
    <col min="2566" max="2566" width="15.42578125" style="2" customWidth="1"/>
    <col min="2567" max="2567" width="14.85546875" style="2" customWidth="1"/>
    <col min="2568" max="2568" width="15.42578125" style="2" customWidth="1"/>
    <col min="2569" max="2569" width="14.140625" style="2" customWidth="1"/>
    <col min="2570" max="2570" width="14.28515625" style="2" customWidth="1"/>
    <col min="2571" max="2571" width="11.5703125" style="2" customWidth="1"/>
    <col min="2572" max="2572" width="10.28515625" style="2" customWidth="1"/>
    <col min="2573" max="2573" width="9.7109375" style="2" bestFit="1" customWidth="1"/>
    <col min="2574" max="2816" width="9.140625" style="2"/>
    <col min="2817" max="2817" width="51.140625" style="2" customWidth="1"/>
    <col min="2818" max="2818" width="56.7109375" style="2" customWidth="1"/>
    <col min="2819" max="2819" width="12.42578125" style="2" customWidth="1"/>
    <col min="2820" max="2820" width="14.5703125" style="2" customWidth="1"/>
    <col min="2821" max="2821" width="15.85546875" style="2" customWidth="1"/>
    <col min="2822" max="2822" width="15.42578125" style="2" customWidth="1"/>
    <col min="2823" max="2823" width="14.85546875" style="2" customWidth="1"/>
    <col min="2824" max="2824" width="15.42578125" style="2" customWidth="1"/>
    <col min="2825" max="2825" width="14.140625" style="2" customWidth="1"/>
    <col min="2826" max="2826" width="14.28515625" style="2" customWidth="1"/>
    <col min="2827" max="2827" width="11.5703125" style="2" customWidth="1"/>
    <col min="2828" max="2828" width="10.28515625" style="2" customWidth="1"/>
    <col min="2829" max="2829" width="9.7109375" style="2" bestFit="1" customWidth="1"/>
    <col min="2830" max="3072" width="9.140625" style="2"/>
    <col min="3073" max="3073" width="51.140625" style="2" customWidth="1"/>
    <col min="3074" max="3074" width="56.7109375" style="2" customWidth="1"/>
    <col min="3075" max="3075" width="12.42578125" style="2" customWidth="1"/>
    <col min="3076" max="3076" width="14.5703125" style="2" customWidth="1"/>
    <col min="3077" max="3077" width="15.85546875" style="2" customWidth="1"/>
    <col min="3078" max="3078" width="15.42578125" style="2" customWidth="1"/>
    <col min="3079" max="3079" width="14.85546875" style="2" customWidth="1"/>
    <col min="3080" max="3080" width="15.42578125" style="2" customWidth="1"/>
    <col min="3081" max="3081" width="14.140625" style="2" customWidth="1"/>
    <col min="3082" max="3082" width="14.28515625" style="2" customWidth="1"/>
    <col min="3083" max="3083" width="11.5703125" style="2" customWidth="1"/>
    <col min="3084" max="3084" width="10.28515625" style="2" customWidth="1"/>
    <col min="3085" max="3085" width="9.7109375" style="2" bestFit="1" customWidth="1"/>
    <col min="3086" max="3328" width="9.140625" style="2"/>
    <col min="3329" max="3329" width="51.140625" style="2" customWidth="1"/>
    <col min="3330" max="3330" width="56.7109375" style="2" customWidth="1"/>
    <col min="3331" max="3331" width="12.42578125" style="2" customWidth="1"/>
    <col min="3332" max="3332" width="14.5703125" style="2" customWidth="1"/>
    <col min="3333" max="3333" width="15.85546875" style="2" customWidth="1"/>
    <col min="3334" max="3334" width="15.42578125" style="2" customWidth="1"/>
    <col min="3335" max="3335" width="14.85546875" style="2" customWidth="1"/>
    <col min="3336" max="3336" width="15.42578125" style="2" customWidth="1"/>
    <col min="3337" max="3337" width="14.140625" style="2" customWidth="1"/>
    <col min="3338" max="3338" width="14.28515625" style="2" customWidth="1"/>
    <col min="3339" max="3339" width="11.5703125" style="2" customWidth="1"/>
    <col min="3340" max="3340" width="10.28515625" style="2" customWidth="1"/>
    <col min="3341" max="3341" width="9.7109375" style="2" bestFit="1" customWidth="1"/>
    <col min="3342" max="3584" width="9.140625" style="2"/>
    <col min="3585" max="3585" width="51.140625" style="2" customWidth="1"/>
    <col min="3586" max="3586" width="56.7109375" style="2" customWidth="1"/>
    <col min="3587" max="3587" width="12.42578125" style="2" customWidth="1"/>
    <col min="3588" max="3588" width="14.5703125" style="2" customWidth="1"/>
    <col min="3589" max="3589" width="15.85546875" style="2" customWidth="1"/>
    <col min="3590" max="3590" width="15.42578125" style="2" customWidth="1"/>
    <col min="3591" max="3591" width="14.85546875" style="2" customWidth="1"/>
    <col min="3592" max="3592" width="15.42578125" style="2" customWidth="1"/>
    <col min="3593" max="3593" width="14.140625" style="2" customWidth="1"/>
    <col min="3594" max="3594" width="14.28515625" style="2" customWidth="1"/>
    <col min="3595" max="3595" width="11.5703125" style="2" customWidth="1"/>
    <col min="3596" max="3596" width="10.28515625" style="2" customWidth="1"/>
    <col min="3597" max="3597" width="9.7109375" style="2" bestFit="1" customWidth="1"/>
    <col min="3598" max="3840" width="9.140625" style="2"/>
    <col min="3841" max="3841" width="51.140625" style="2" customWidth="1"/>
    <col min="3842" max="3842" width="56.7109375" style="2" customWidth="1"/>
    <col min="3843" max="3843" width="12.42578125" style="2" customWidth="1"/>
    <col min="3844" max="3844" width="14.5703125" style="2" customWidth="1"/>
    <col min="3845" max="3845" width="15.85546875" style="2" customWidth="1"/>
    <col min="3846" max="3846" width="15.42578125" style="2" customWidth="1"/>
    <col min="3847" max="3847" width="14.85546875" style="2" customWidth="1"/>
    <col min="3848" max="3848" width="15.42578125" style="2" customWidth="1"/>
    <col min="3849" max="3849" width="14.140625" style="2" customWidth="1"/>
    <col min="3850" max="3850" width="14.28515625" style="2" customWidth="1"/>
    <col min="3851" max="3851" width="11.5703125" style="2" customWidth="1"/>
    <col min="3852" max="3852" width="10.28515625" style="2" customWidth="1"/>
    <col min="3853" max="3853" width="9.7109375" style="2" bestFit="1" customWidth="1"/>
    <col min="3854" max="4096" width="9.140625" style="2"/>
    <col min="4097" max="4097" width="51.140625" style="2" customWidth="1"/>
    <col min="4098" max="4098" width="56.7109375" style="2" customWidth="1"/>
    <col min="4099" max="4099" width="12.42578125" style="2" customWidth="1"/>
    <col min="4100" max="4100" width="14.5703125" style="2" customWidth="1"/>
    <col min="4101" max="4101" width="15.85546875" style="2" customWidth="1"/>
    <col min="4102" max="4102" width="15.42578125" style="2" customWidth="1"/>
    <col min="4103" max="4103" width="14.85546875" style="2" customWidth="1"/>
    <col min="4104" max="4104" width="15.42578125" style="2" customWidth="1"/>
    <col min="4105" max="4105" width="14.140625" style="2" customWidth="1"/>
    <col min="4106" max="4106" width="14.28515625" style="2" customWidth="1"/>
    <col min="4107" max="4107" width="11.5703125" style="2" customWidth="1"/>
    <col min="4108" max="4108" width="10.28515625" style="2" customWidth="1"/>
    <col min="4109" max="4109" width="9.7109375" style="2" bestFit="1" customWidth="1"/>
    <col min="4110" max="4352" width="9.140625" style="2"/>
    <col min="4353" max="4353" width="51.140625" style="2" customWidth="1"/>
    <col min="4354" max="4354" width="56.7109375" style="2" customWidth="1"/>
    <col min="4355" max="4355" width="12.42578125" style="2" customWidth="1"/>
    <col min="4356" max="4356" width="14.5703125" style="2" customWidth="1"/>
    <col min="4357" max="4357" width="15.85546875" style="2" customWidth="1"/>
    <col min="4358" max="4358" width="15.42578125" style="2" customWidth="1"/>
    <col min="4359" max="4359" width="14.85546875" style="2" customWidth="1"/>
    <col min="4360" max="4360" width="15.42578125" style="2" customWidth="1"/>
    <col min="4361" max="4361" width="14.140625" style="2" customWidth="1"/>
    <col min="4362" max="4362" width="14.28515625" style="2" customWidth="1"/>
    <col min="4363" max="4363" width="11.5703125" style="2" customWidth="1"/>
    <col min="4364" max="4364" width="10.28515625" style="2" customWidth="1"/>
    <col min="4365" max="4365" width="9.7109375" style="2" bestFit="1" customWidth="1"/>
    <col min="4366" max="4608" width="9.140625" style="2"/>
    <col min="4609" max="4609" width="51.140625" style="2" customWidth="1"/>
    <col min="4610" max="4610" width="56.7109375" style="2" customWidth="1"/>
    <col min="4611" max="4611" width="12.42578125" style="2" customWidth="1"/>
    <col min="4612" max="4612" width="14.5703125" style="2" customWidth="1"/>
    <col min="4613" max="4613" width="15.85546875" style="2" customWidth="1"/>
    <col min="4614" max="4614" width="15.42578125" style="2" customWidth="1"/>
    <col min="4615" max="4615" width="14.85546875" style="2" customWidth="1"/>
    <col min="4616" max="4616" width="15.42578125" style="2" customWidth="1"/>
    <col min="4617" max="4617" width="14.140625" style="2" customWidth="1"/>
    <col min="4618" max="4618" width="14.28515625" style="2" customWidth="1"/>
    <col min="4619" max="4619" width="11.5703125" style="2" customWidth="1"/>
    <col min="4620" max="4620" width="10.28515625" style="2" customWidth="1"/>
    <col min="4621" max="4621" width="9.7109375" style="2" bestFit="1" customWidth="1"/>
    <col min="4622" max="4864" width="9.140625" style="2"/>
    <col min="4865" max="4865" width="51.140625" style="2" customWidth="1"/>
    <col min="4866" max="4866" width="56.7109375" style="2" customWidth="1"/>
    <col min="4867" max="4867" width="12.42578125" style="2" customWidth="1"/>
    <col min="4868" max="4868" width="14.5703125" style="2" customWidth="1"/>
    <col min="4869" max="4869" width="15.85546875" style="2" customWidth="1"/>
    <col min="4870" max="4870" width="15.42578125" style="2" customWidth="1"/>
    <col min="4871" max="4871" width="14.85546875" style="2" customWidth="1"/>
    <col min="4872" max="4872" width="15.42578125" style="2" customWidth="1"/>
    <col min="4873" max="4873" width="14.140625" style="2" customWidth="1"/>
    <col min="4874" max="4874" width="14.28515625" style="2" customWidth="1"/>
    <col min="4875" max="4875" width="11.5703125" style="2" customWidth="1"/>
    <col min="4876" max="4876" width="10.28515625" style="2" customWidth="1"/>
    <col min="4877" max="4877" width="9.7109375" style="2" bestFit="1" customWidth="1"/>
    <col min="4878" max="5120" width="9.140625" style="2"/>
    <col min="5121" max="5121" width="51.140625" style="2" customWidth="1"/>
    <col min="5122" max="5122" width="56.7109375" style="2" customWidth="1"/>
    <col min="5123" max="5123" width="12.42578125" style="2" customWidth="1"/>
    <col min="5124" max="5124" width="14.5703125" style="2" customWidth="1"/>
    <col min="5125" max="5125" width="15.85546875" style="2" customWidth="1"/>
    <col min="5126" max="5126" width="15.42578125" style="2" customWidth="1"/>
    <col min="5127" max="5127" width="14.85546875" style="2" customWidth="1"/>
    <col min="5128" max="5128" width="15.42578125" style="2" customWidth="1"/>
    <col min="5129" max="5129" width="14.140625" style="2" customWidth="1"/>
    <col min="5130" max="5130" width="14.28515625" style="2" customWidth="1"/>
    <col min="5131" max="5131" width="11.5703125" style="2" customWidth="1"/>
    <col min="5132" max="5132" width="10.28515625" style="2" customWidth="1"/>
    <col min="5133" max="5133" width="9.7109375" style="2" bestFit="1" customWidth="1"/>
    <col min="5134" max="5376" width="9.140625" style="2"/>
    <col min="5377" max="5377" width="51.140625" style="2" customWidth="1"/>
    <col min="5378" max="5378" width="56.7109375" style="2" customWidth="1"/>
    <col min="5379" max="5379" width="12.42578125" style="2" customWidth="1"/>
    <col min="5380" max="5380" width="14.5703125" style="2" customWidth="1"/>
    <col min="5381" max="5381" width="15.85546875" style="2" customWidth="1"/>
    <col min="5382" max="5382" width="15.42578125" style="2" customWidth="1"/>
    <col min="5383" max="5383" width="14.85546875" style="2" customWidth="1"/>
    <col min="5384" max="5384" width="15.42578125" style="2" customWidth="1"/>
    <col min="5385" max="5385" width="14.140625" style="2" customWidth="1"/>
    <col min="5386" max="5386" width="14.28515625" style="2" customWidth="1"/>
    <col min="5387" max="5387" width="11.5703125" style="2" customWidth="1"/>
    <col min="5388" max="5388" width="10.28515625" style="2" customWidth="1"/>
    <col min="5389" max="5389" width="9.7109375" style="2" bestFit="1" customWidth="1"/>
    <col min="5390" max="5632" width="9.140625" style="2"/>
    <col min="5633" max="5633" width="51.140625" style="2" customWidth="1"/>
    <col min="5634" max="5634" width="56.7109375" style="2" customWidth="1"/>
    <col min="5635" max="5635" width="12.42578125" style="2" customWidth="1"/>
    <col min="5636" max="5636" width="14.5703125" style="2" customWidth="1"/>
    <col min="5637" max="5637" width="15.85546875" style="2" customWidth="1"/>
    <col min="5638" max="5638" width="15.42578125" style="2" customWidth="1"/>
    <col min="5639" max="5639" width="14.85546875" style="2" customWidth="1"/>
    <col min="5640" max="5640" width="15.42578125" style="2" customWidth="1"/>
    <col min="5641" max="5641" width="14.140625" style="2" customWidth="1"/>
    <col min="5642" max="5642" width="14.28515625" style="2" customWidth="1"/>
    <col min="5643" max="5643" width="11.5703125" style="2" customWidth="1"/>
    <col min="5644" max="5644" width="10.28515625" style="2" customWidth="1"/>
    <col min="5645" max="5645" width="9.7109375" style="2" bestFit="1" customWidth="1"/>
    <col min="5646" max="5888" width="9.140625" style="2"/>
    <col min="5889" max="5889" width="51.140625" style="2" customWidth="1"/>
    <col min="5890" max="5890" width="56.7109375" style="2" customWidth="1"/>
    <col min="5891" max="5891" width="12.42578125" style="2" customWidth="1"/>
    <col min="5892" max="5892" width="14.5703125" style="2" customWidth="1"/>
    <col min="5893" max="5893" width="15.85546875" style="2" customWidth="1"/>
    <col min="5894" max="5894" width="15.42578125" style="2" customWidth="1"/>
    <col min="5895" max="5895" width="14.85546875" style="2" customWidth="1"/>
    <col min="5896" max="5896" width="15.42578125" style="2" customWidth="1"/>
    <col min="5897" max="5897" width="14.140625" style="2" customWidth="1"/>
    <col min="5898" max="5898" width="14.28515625" style="2" customWidth="1"/>
    <col min="5899" max="5899" width="11.5703125" style="2" customWidth="1"/>
    <col min="5900" max="5900" width="10.28515625" style="2" customWidth="1"/>
    <col min="5901" max="5901" width="9.7109375" style="2" bestFit="1" customWidth="1"/>
    <col min="5902" max="6144" width="9.140625" style="2"/>
    <col min="6145" max="6145" width="51.140625" style="2" customWidth="1"/>
    <col min="6146" max="6146" width="56.7109375" style="2" customWidth="1"/>
    <col min="6147" max="6147" width="12.42578125" style="2" customWidth="1"/>
    <col min="6148" max="6148" width="14.5703125" style="2" customWidth="1"/>
    <col min="6149" max="6149" width="15.85546875" style="2" customWidth="1"/>
    <col min="6150" max="6150" width="15.42578125" style="2" customWidth="1"/>
    <col min="6151" max="6151" width="14.85546875" style="2" customWidth="1"/>
    <col min="6152" max="6152" width="15.42578125" style="2" customWidth="1"/>
    <col min="6153" max="6153" width="14.140625" style="2" customWidth="1"/>
    <col min="6154" max="6154" width="14.28515625" style="2" customWidth="1"/>
    <col min="6155" max="6155" width="11.5703125" style="2" customWidth="1"/>
    <col min="6156" max="6156" width="10.28515625" style="2" customWidth="1"/>
    <col min="6157" max="6157" width="9.7109375" style="2" bestFit="1" customWidth="1"/>
    <col min="6158" max="6400" width="9.140625" style="2"/>
    <col min="6401" max="6401" width="51.140625" style="2" customWidth="1"/>
    <col min="6402" max="6402" width="56.7109375" style="2" customWidth="1"/>
    <col min="6403" max="6403" width="12.42578125" style="2" customWidth="1"/>
    <col min="6404" max="6404" width="14.5703125" style="2" customWidth="1"/>
    <col min="6405" max="6405" width="15.85546875" style="2" customWidth="1"/>
    <col min="6406" max="6406" width="15.42578125" style="2" customWidth="1"/>
    <col min="6407" max="6407" width="14.85546875" style="2" customWidth="1"/>
    <col min="6408" max="6408" width="15.42578125" style="2" customWidth="1"/>
    <col min="6409" max="6409" width="14.140625" style="2" customWidth="1"/>
    <col min="6410" max="6410" width="14.28515625" style="2" customWidth="1"/>
    <col min="6411" max="6411" width="11.5703125" style="2" customWidth="1"/>
    <col min="6412" max="6412" width="10.28515625" style="2" customWidth="1"/>
    <col min="6413" max="6413" width="9.7109375" style="2" bestFit="1" customWidth="1"/>
    <col min="6414" max="6656" width="9.140625" style="2"/>
    <col min="6657" max="6657" width="51.140625" style="2" customWidth="1"/>
    <col min="6658" max="6658" width="56.7109375" style="2" customWidth="1"/>
    <col min="6659" max="6659" width="12.42578125" style="2" customWidth="1"/>
    <col min="6660" max="6660" width="14.5703125" style="2" customWidth="1"/>
    <col min="6661" max="6661" width="15.85546875" style="2" customWidth="1"/>
    <col min="6662" max="6662" width="15.42578125" style="2" customWidth="1"/>
    <col min="6663" max="6663" width="14.85546875" style="2" customWidth="1"/>
    <col min="6664" max="6664" width="15.42578125" style="2" customWidth="1"/>
    <col min="6665" max="6665" width="14.140625" style="2" customWidth="1"/>
    <col min="6666" max="6666" width="14.28515625" style="2" customWidth="1"/>
    <col min="6667" max="6667" width="11.5703125" style="2" customWidth="1"/>
    <col min="6668" max="6668" width="10.28515625" style="2" customWidth="1"/>
    <col min="6669" max="6669" width="9.7109375" style="2" bestFit="1" customWidth="1"/>
    <col min="6670" max="6912" width="9.140625" style="2"/>
    <col min="6913" max="6913" width="51.140625" style="2" customWidth="1"/>
    <col min="6914" max="6914" width="56.7109375" style="2" customWidth="1"/>
    <col min="6915" max="6915" width="12.42578125" style="2" customWidth="1"/>
    <col min="6916" max="6916" width="14.5703125" style="2" customWidth="1"/>
    <col min="6917" max="6917" width="15.85546875" style="2" customWidth="1"/>
    <col min="6918" max="6918" width="15.42578125" style="2" customWidth="1"/>
    <col min="6919" max="6919" width="14.85546875" style="2" customWidth="1"/>
    <col min="6920" max="6920" width="15.42578125" style="2" customWidth="1"/>
    <col min="6921" max="6921" width="14.140625" style="2" customWidth="1"/>
    <col min="6922" max="6922" width="14.28515625" style="2" customWidth="1"/>
    <col min="6923" max="6923" width="11.5703125" style="2" customWidth="1"/>
    <col min="6924" max="6924" width="10.28515625" style="2" customWidth="1"/>
    <col min="6925" max="6925" width="9.7109375" style="2" bestFit="1" customWidth="1"/>
    <col min="6926" max="7168" width="9.140625" style="2"/>
    <col min="7169" max="7169" width="51.140625" style="2" customWidth="1"/>
    <col min="7170" max="7170" width="56.7109375" style="2" customWidth="1"/>
    <col min="7171" max="7171" width="12.42578125" style="2" customWidth="1"/>
    <col min="7172" max="7172" width="14.5703125" style="2" customWidth="1"/>
    <col min="7173" max="7173" width="15.85546875" style="2" customWidth="1"/>
    <col min="7174" max="7174" width="15.42578125" style="2" customWidth="1"/>
    <col min="7175" max="7175" width="14.85546875" style="2" customWidth="1"/>
    <col min="7176" max="7176" width="15.42578125" style="2" customWidth="1"/>
    <col min="7177" max="7177" width="14.140625" style="2" customWidth="1"/>
    <col min="7178" max="7178" width="14.28515625" style="2" customWidth="1"/>
    <col min="7179" max="7179" width="11.5703125" style="2" customWidth="1"/>
    <col min="7180" max="7180" width="10.28515625" style="2" customWidth="1"/>
    <col min="7181" max="7181" width="9.7109375" style="2" bestFit="1" customWidth="1"/>
    <col min="7182" max="7424" width="9.140625" style="2"/>
    <col min="7425" max="7425" width="51.140625" style="2" customWidth="1"/>
    <col min="7426" max="7426" width="56.7109375" style="2" customWidth="1"/>
    <col min="7427" max="7427" width="12.42578125" style="2" customWidth="1"/>
    <col min="7428" max="7428" width="14.5703125" style="2" customWidth="1"/>
    <col min="7429" max="7429" width="15.85546875" style="2" customWidth="1"/>
    <col min="7430" max="7430" width="15.42578125" style="2" customWidth="1"/>
    <col min="7431" max="7431" width="14.85546875" style="2" customWidth="1"/>
    <col min="7432" max="7432" width="15.42578125" style="2" customWidth="1"/>
    <col min="7433" max="7433" width="14.140625" style="2" customWidth="1"/>
    <col min="7434" max="7434" width="14.28515625" style="2" customWidth="1"/>
    <col min="7435" max="7435" width="11.5703125" style="2" customWidth="1"/>
    <col min="7436" max="7436" width="10.28515625" style="2" customWidth="1"/>
    <col min="7437" max="7437" width="9.7109375" style="2" bestFit="1" customWidth="1"/>
    <col min="7438" max="7680" width="9.140625" style="2"/>
    <col min="7681" max="7681" width="51.140625" style="2" customWidth="1"/>
    <col min="7682" max="7682" width="56.7109375" style="2" customWidth="1"/>
    <col min="7683" max="7683" width="12.42578125" style="2" customWidth="1"/>
    <col min="7684" max="7684" width="14.5703125" style="2" customWidth="1"/>
    <col min="7685" max="7685" width="15.85546875" style="2" customWidth="1"/>
    <col min="7686" max="7686" width="15.42578125" style="2" customWidth="1"/>
    <col min="7687" max="7687" width="14.85546875" style="2" customWidth="1"/>
    <col min="7688" max="7688" width="15.42578125" style="2" customWidth="1"/>
    <col min="7689" max="7689" width="14.140625" style="2" customWidth="1"/>
    <col min="7690" max="7690" width="14.28515625" style="2" customWidth="1"/>
    <col min="7691" max="7691" width="11.5703125" style="2" customWidth="1"/>
    <col min="7692" max="7692" width="10.28515625" style="2" customWidth="1"/>
    <col min="7693" max="7693" width="9.7109375" style="2" bestFit="1" customWidth="1"/>
    <col min="7694" max="7936" width="9.140625" style="2"/>
    <col min="7937" max="7937" width="51.140625" style="2" customWidth="1"/>
    <col min="7938" max="7938" width="56.7109375" style="2" customWidth="1"/>
    <col min="7939" max="7939" width="12.42578125" style="2" customWidth="1"/>
    <col min="7940" max="7940" width="14.5703125" style="2" customWidth="1"/>
    <col min="7941" max="7941" width="15.85546875" style="2" customWidth="1"/>
    <col min="7942" max="7942" width="15.42578125" style="2" customWidth="1"/>
    <col min="7943" max="7943" width="14.85546875" style="2" customWidth="1"/>
    <col min="7944" max="7944" width="15.42578125" style="2" customWidth="1"/>
    <col min="7945" max="7945" width="14.140625" style="2" customWidth="1"/>
    <col min="7946" max="7946" width="14.28515625" style="2" customWidth="1"/>
    <col min="7947" max="7947" width="11.5703125" style="2" customWidth="1"/>
    <col min="7948" max="7948" width="10.28515625" style="2" customWidth="1"/>
    <col min="7949" max="7949" width="9.7109375" style="2" bestFit="1" customWidth="1"/>
    <col min="7950" max="8192" width="9.140625" style="2"/>
    <col min="8193" max="8193" width="51.140625" style="2" customWidth="1"/>
    <col min="8194" max="8194" width="56.7109375" style="2" customWidth="1"/>
    <col min="8195" max="8195" width="12.42578125" style="2" customWidth="1"/>
    <col min="8196" max="8196" width="14.5703125" style="2" customWidth="1"/>
    <col min="8197" max="8197" width="15.85546875" style="2" customWidth="1"/>
    <col min="8198" max="8198" width="15.42578125" style="2" customWidth="1"/>
    <col min="8199" max="8199" width="14.85546875" style="2" customWidth="1"/>
    <col min="8200" max="8200" width="15.42578125" style="2" customWidth="1"/>
    <col min="8201" max="8201" width="14.140625" style="2" customWidth="1"/>
    <col min="8202" max="8202" width="14.28515625" style="2" customWidth="1"/>
    <col min="8203" max="8203" width="11.5703125" style="2" customWidth="1"/>
    <col min="8204" max="8204" width="10.28515625" style="2" customWidth="1"/>
    <col min="8205" max="8205" width="9.7109375" style="2" bestFit="1" customWidth="1"/>
    <col min="8206" max="8448" width="9.140625" style="2"/>
    <col min="8449" max="8449" width="51.140625" style="2" customWidth="1"/>
    <col min="8450" max="8450" width="56.7109375" style="2" customWidth="1"/>
    <col min="8451" max="8451" width="12.42578125" style="2" customWidth="1"/>
    <col min="8452" max="8452" width="14.5703125" style="2" customWidth="1"/>
    <col min="8453" max="8453" width="15.85546875" style="2" customWidth="1"/>
    <col min="8454" max="8454" width="15.42578125" style="2" customWidth="1"/>
    <col min="8455" max="8455" width="14.85546875" style="2" customWidth="1"/>
    <col min="8456" max="8456" width="15.42578125" style="2" customWidth="1"/>
    <col min="8457" max="8457" width="14.140625" style="2" customWidth="1"/>
    <col min="8458" max="8458" width="14.28515625" style="2" customWidth="1"/>
    <col min="8459" max="8459" width="11.5703125" style="2" customWidth="1"/>
    <col min="8460" max="8460" width="10.28515625" style="2" customWidth="1"/>
    <col min="8461" max="8461" width="9.7109375" style="2" bestFit="1" customWidth="1"/>
    <col min="8462" max="8704" width="9.140625" style="2"/>
    <col min="8705" max="8705" width="51.140625" style="2" customWidth="1"/>
    <col min="8706" max="8706" width="56.7109375" style="2" customWidth="1"/>
    <col min="8707" max="8707" width="12.42578125" style="2" customWidth="1"/>
    <col min="8708" max="8708" width="14.5703125" style="2" customWidth="1"/>
    <col min="8709" max="8709" width="15.85546875" style="2" customWidth="1"/>
    <col min="8710" max="8710" width="15.42578125" style="2" customWidth="1"/>
    <col min="8711" max="8711" width="14.85546875" style="2" customWidth="1"/>
    <col min="8712" max="8712" width="15.42578125" style="2" customWidth="1"/>
    <col min="8713" max="8713" width="14.140625" style="2" customWidth="1"/>
    <col min="8714" max="8714" width="14.28515625" style="2" customWidth="1"/>
    <col min="8715" max="8715" width="11.5703125" style="2" customWidth="1"/>
    <col min="8716" max="8716" width="10.28515625" style="2" customWidth="1"/>
    <col min="8717" max="8717" width="9.7109375" style="2" bestFit="1" customWidth="1"/>
    <col min="8718" max="8960" width="9.140625" style="2"/>
    <col min="8961" max="8961" width="51.140625" style="2" customWidth="1"/>
    <col min="8962" max="8962" width="56.7109375" style="2" customWidth="1"/>
    <col min="8963" max="8963" width="12.42578125" style="2" customWidth="1"/>
    <col min="8964" max="8964" width="14.5703125" style="2" customWidth="1"/>
    <col min="8965" max="8965" width="15.85546875" style="2" customWidth="1"/>
    <col min="8966" max="8966" width="15.42578125" style="2" customWidth="1"/>
    <col min="8967" max="8967" width="14.85546875" style="2" customWidth="1"/>
    <col min="8968" max="8968" width="15.42578125" style="2" customWidth="1"/>
    <col min="8969" max="8969" width="14.140625" style="2" customWidth="1"/>
    <col min="8970" max="8970" width="14.28515625" style="2" customWidth="1"/>
    <col min="8971" max="8971" width="11.5703125" style="2" customWidth="1"/>
    <col min="8972" max="8972" width="10.28515625" style="2" customWidth="1"/>
    <col min="8973" max="8973" width="9.7109375" style="2" bestFit="1" customWidth="1"/>
    <col min="8974" max="9216" width="9.140625" style="2"/>
    <col min="9217" max="9217" width="51.140625" style="2" customWidth="1"/>
    <col min="9218" max="9218" width="56.7109375" style="2" customWidth="1"/>
    <col min="9219" max="9219" width="12.42578125" style="2" customWidth="1"/>
    <col min="9220" max="9220" width="14.5703125" style="2" customWidth="1"/>
    <col min="9221" max="9221" width="15.85546875" style="2" customWidth="1"/>
    <col min="9222" max="9222" width="15.42578125" style="2" customWidth="1"/>
    <col min="9223" max="9223" width="14.85546875" style="2" customWidth="1"/>
    <col min="9224" max="9224" width="15.42578125" style="2" customWidth="1"/>
    <col min="9225" max="9225" width="14.140625" style="2" customWidth="1"/>
    <col min="9226" max="9226" width="14.28515625" style="2" customWidth="1"/>
    <col min="9227" max="9227" width="11.5703125" style="2" customWidth="1"/>
    <col min="9228" max="9228" width="10.28515625" style="2" customWidth="1"/>
    <col min="9229" max="9229" width="9.7109375" style="2" bestFit="1" customWidth="1"/>
    <col min="9230" max="9472" width="9.140625" style="2"/>
    <col min="9473" max="9473" width="51.140625" style="2" customWidth="1"/>
    <col min="9474" max="9474" width="56.7109375" style="2" customWidth="1"/>
    <col min="9475" max="9475" width="12.42578125" style="2" customWidth="1"/>
    <col min="9476" max="9476" width="14.5703125" style="2" customWidth="1"/>
    <col min="9477" max="9477" width="15.85546875" style="2" customWidth="1"/>
    <col min="9478" max="9478" width="15.42578125" style="2" customWidth="1"/>
    <col min="9479" max="9479" width="14.85546875" style="2" customWidth="1"/>
    <col min="9480" max="9480" width="15.42578125" style="2" customWidth="1"/>
    <col min="9481" max="9481" width="14.140625" style="2" customWidth="1"/>
    <col min="9482" max="9482" width="14.28515625" style="2" customWidth="1"/>
    <col min="9483" max="9483" width="11.5703125" style="2" customWidth="1"/>
    <col min="9484" max="9484" width="10.28515625" style="2" customWidth="1"/>
    <col min="9485" max="9485" width="9.7109375" style="2" bestFit="1" customWidth="1"/>
    <col min="9486" max="9728" width="9.140625" style="2"/>
    <col min="9729" max="9729" width="51.140625" style="2" customWidth="1"/>
    <col min="9730" max="9730" width="56.7109375" style="2" customWidth="1"/>
    <col min="9731" max="9731" width="12.42578125" style="2" customWidth="1"/>
    <col min="9732" max="9732" width="14.5703125" style="2" customWidth="1"/>
    <col min="9733" max="9733" width="15.85546875" style="2" customWidth="1"/>
    <col min="9734" max="9734" width="15.42578125" style="2" customWidth="1"/>
    <col min="9735" max="9735" width="14.85546875" style="2" customWidth="1"/>
    <col min="9736" max="9736" width="15.42578125" style="2" customWidth="1"/>
    <col min="9737" max="9737" width="14.140625" style="2" customWidth="1"/>
    <col min="9738" max="9738" width="14.28515625" style="2" customWidth="1"/>
    <col min="9739" max="9739" width="11.5703125" style="2" customWidth="1"/>
    <col min="9740" max="9740" width="10.28515625" style="2" customWidth="1"/>
    <col min="9741" max="9741" width="9.7109375" style="2" bestFit="1" customWidth="1"/>
    <col min="9742" max="9984" width="9.140625" style="2"/>
    <col min="9985" max="9985" width="51.140625" style="2" customWidth="1"/>
    <col min="9986" max="9986" width="56.7109375" style="2" customWidth="1"/>
    <col min="9987" max="9987" width="12.42578125" style="2" customWidth="1"/>
    <col min="9988" max="9988" width="14.5703125" style="2" customWidth="1"/>
    <col min="9989" max="9989" width="15.85546875" style="2" customWidth="1"/>
    <col min="9990" max="9990" width="15.42578125" style="2" customWidth="1"/>
    <col min="9991" max="9991" width="14.85546875" style="2" customWidth="1"/>
    <col min="9992" max="9992" width="15.42578125" style="2" customWidth="1"/>
    <col min="9993" max="9993" width="14.140625" style="2" customWidth="1"/>
    <col min="9994" max="9994" width="14.28515625" style="2" customWidth="1"/>
    <col min="9995" max="9995" width="11.5703125" style="2" customWidth="1"/>
    <col min="9996" max="9996" width="10.28515625" style="2" customWidth="1"/>
    <col min="9997" max="9997" width="9.7109375" style="2" bestFit="1" customWidth="1"/>
    <col min="9998" max="10240" width="9.140625" style="2"/>
    <col min="10241" max="10241" width="51.140625" style="2" customWidth="1"/>
    <col min="10242" max="10242" width="56.7109375" style="2" customWidth="1"/>
    <col min="10243" max="10243" width="12.42578125" style="2" customWidth="1"/>
    <col min="10244" max="10244" width="14.5703125" style="2" customWidth="1"/>
    <col min="10245" max="10245" width="15.85546875" style="2" customWidth="1"/>
    <col min="10246" max="10246" width="15.42578125" style="2" customWidth="1"/>
    <col min="10247" max="10247" width="14.85546875" style="2" customWidth="1"/>
    <col min="10248" max="10248" width="15.42578125" style="2" customWidth="1"/>
    <col min="10249" max="10249" width="14.140625" style="2" customWidth="1"/>
    <col min="10250" max="10250" width="14.28515625" style="2" customWidth="1"/>
    <col min="10251" max="10251" width="11.5703125" style="2" customWidth="1"/>
    <col min="10252" max="10252" width="10.28515625" style="2" customWidth="1"/>
    <col min="10253" max="10253" width="9.7109375" style="2" bestFit="1" customWidth="1"/>
    <col min="10254" max="10496" width="9.140625" style="2"/>
    <col min="10497" max="10497" width="51.140625" style="2" customWidth="1"/>
    <col min="10498" max="10498" width="56.7109375" style="2" customWidth="1"/>
    <col min="10499" max="10499" width="12.42578125" style="2" customWidth="1"/>
    <col min="10500" max="10500" width="14.5703125" style="2" customWidth="1"/>
    <col min="10501" max="10501" width="15.85546875" style="2" customWidth="1"/>
    <col min="10502" max="10502" width="15.42578125" style="2" customWidth="1"/>
    <col min="10503" max="10503" width="14.85546875" style="2" customWidth="1"/>
    <col min="10504" max="10504" width="15.42578125" style="2" customWidth="1"/>
    <col min="10505" max="10505" width="14.140625" style="2" customWidth="1"/>
    <col min="10506" max="10506" width="14.28515625" style="2" customWidth="1"/>
    <col min="10507" max="10507" width="11.5703125" style="2" customWidth="1"/>
    <col min="10508" max="10508" width="10.28515625" style="2" customWidth="1"/>
    <col min="10509" max="10509" width="9.7109375" style="2" bestFit="1" customWidth="1"/>
    <col min="10510" max="10752" width="9.140625" style="2"/>
    <col min="10753" max="10753" width="51.140625" style="2" customWidth="1"/>
    <col min="10754" max="10754" width="56.7109375" style="2" customWidth="1"/>
    <col min="10755" max="10755" width="12.42578125" style="2" customWidth="1"/>
    <col min="10756" max="10756" width="14.5703125" style="2" customWidth="1"/>
    <col min="10757" max="10757" width="15.85546875" style="2" customWidth="1"/>
    <col min="10758" max="10758" width="15.42578125" style="2" customWidth="1"/>
    <col min="10759" max="10759" width="14.85546875" style="2" customWidth="1"/>
    <col min="10760" max="10760" width="15.42578125" style="2" customWidth="1"/>
    <col min="10761" max="10761" width="14.140625" style="2" customWidth="1"/>
    <col min="10762" max="10762" width="14.28515625" style="2" customWidth="1"/>
    <col min="10763" max="10763" width="11.5703125" style="2" customWidth="1"/>
    <col min="10764" max="10764" width="10.28515625" style="2" customWidth="1"/>
    <col min="10765" max="10765" width="9.7109375" style="2" bestFit="1" customWidth="1"/>
    <col min="10766" max="11008" width="9.140625" style="2"/>
    <col min="11009" max="11009" width="51.140625" style="2" customWidth="1"/>
    <col min="11010" max="11010" width="56.7109375" style="2" customWidth="1"/>
    <col min="11011" max="11011" width="12.42578125" style="2" customWidth="1"/>
    <col min="11012" max="11012" width="14.5703125" style="2" customWidth="1"/>
    <col min="11013" max="11013" width="15.85546875" style="2" customWidth="1"/>
    <col min="11014" max="11014" width="15.42578125" style="2" customWidth="1"/>
    <col min="11015" max="11015" width="14.85546875" style="2" customWidth="1"/>
    <col min="11016" max="11016" width="15.42578125" style="2" customWidth="1"/>
    <col min="11017" max="11017" width="14.140625" style="2" customWidth="1"/>
    <col min="11018" max="11018" width="14.28515625" style="2" customWidth="1"/>
    <col min="11019" max="11019" width="11.5703125" style="2" customWidth="1"/>
    <col min="11020" max="11020" width="10.28515625" style="2" customWidth="1"/>
    <col min="11021" max="11021" width="9.7109375" style="2" bestFit="1" customWidth="1"/>
    <col min="11022" max="11264" width="9.140625" style="2"/>
    <col min="11265" max="11265" width="51.140625" style="2" customWidth="1"/>
    <col min="11266" max="11266" width="56.7109375" style="2" customWidth="1"/>
    <col min="11267" max="11267" width="12.42578125" style="2" customWidth="1"/>
    <col min="11268" max="11268" width="14.5703125" style="2" customWidth="1"/>
    <col min="11269" max="11269" width="15.85546875" style="2" customWidth="1"/>
    <col min="11270" max="11270" width="15.42578125" style="2" customWidth="1"/>
    <col min="11271" max="11271" width="14.85546875" style="2" customWidth="1"/>
    <col min="11272" max="11272" width="15.42578125" style="2" customWidth="1"/>
    <col min="11273" max="11273" width="14.140625" style="2" customWidth="1"/>
    <col min="11274" max="11274" width="14.28515625" style="2" customWidth="1"/>
    <col min="11275" max="11275" width="11.5703125" style="2" customWidth="1"/>
    <col min="11276" max="11276" width="10.28515625" style="2" customWidth="1"/>
    <col min="11277" max="11277" width="9.7109375" style="2" bestFit="1" customWidth="1"/>
    <col min="11278" max="11520" width="9.140625" style="2"/>
    <col min="11521" max="11521" width="51.140625" style="2" customWidth="1"/>
    <col min="11522" max="11522" width="56.7109375" style="2" customWidth="1"/>
    <col min="11523" max="11523" width="12.42578125" style="2" customWidth="1"/>
    <col min="11524" max="11524" width="14.5703125" style="2" customWidth="1"/>
    <col min="11525" max="11525" width="15.85546875" style="2" customWidth="1"/>
    <col min="11526" max="11526" width="15.42578125" style="2" customWidth="1"/>
    <col min="11527" max="11527" width="14.85546875" style="2" customWidth="1"/>
    <col min="11528" max="11528" width="15.42578125" style="2" customWidth="1"/>
    <col min="11529" max="11529" width="14.140625" style="2" customWidth="1"/>
    <col min="11530" max="11530" width="14.28515625" style="2" customWidth="1"/>
    <col min="11531" max="11531" width="11.5703125" style="2" customWidth="1"/>
    <col min="11532" max="11532" width="10.28515625" style="2" customWidth="1"/>
    <col min="11533" max="11533" width="9.7109375" style="2" bestFit="1" customWidth="1"/>
    <col min="11534" max="11776" width="9.140625" style="2"/>
    <col min="11777" max="11777" width="51.140625" style="2" customWidth="1"/>
    <col min="11778" max="11778" width="56.7109375" style="2" customWidth="1"/>
    <col min="11779" max="11779" width="12.42578125" style="2" customWidth="1"/>
    <col min="11780" max="11780" width="14.5703125" style="2" customWidth="1"/>
    <col min="11781" max="11781" width="15.85546875" style="2" customWidth="1"/>
    <col min="11782" max="11782" width="15.42578125" style="2" customWidth="1"/>
    <col min="11783" max="11783" width="14.85546875" style="2" customWidth="1"/>
    <col min="11784" max="11784" width="15.42578125" style="2" customWidth="1"/>
    <col min="11785" max="11785" width="14.140625" style="2" customWidth="1"/>
    <col min="11786" max="11786" width="14.28515625" style="2" customWidth="1"/>
    <col min="11787" max="11787" width="11.5703125" style="2" customWidth="1"/>
    <col min="11788" max="11788" width="10.28515625" style="2" customWidth="1"/>
    <col min="11789" max="11789" width="9.7109375" style="2" bestFit="1" customWidth="1"/>
    <col min="11790" max="12032" width="9.140625" style="2"/>
    <col min="12033" max="12033" width="51.140625" style="2" customWidth="1"/>
    <col min="12034" max="12034" width="56.7109375" style="2" customWidth="1"/>
    <col min="12035" max="12035" width="12.42578125" style="2" customWidth="1"/>
    <col min="12036" max="12036" width="14.5703125" style="2" customWidth="1"/>
    <col min="12037" max="12037" width="15.85546875" style="2" customWidth="1"/>
    <col min="12038" max="12038" width="15.42578125" style="2" customWidth="1"/>
    <col min="12039" max="12039" width="14.85546875" style="2" customWidth="1"/>
    <col min="12040" max="12040" width="15.42578125" style="2" customWidth="1"/>
    <col min="12041" max="12041" width="14.140625" style="2" customWidth="1"/>
    <col min="12042" max="12042" width="14.28515625" style="2" customWidth="1"/>
    <col min="12043" max="12043" width="11.5703125" style="2" customWidth="1"/>
    <col min="12044" max="12044" width="10.28515625" style="2" customWidth="1"/>
    <col min="12045" max="12045" width="9.7109375" style="2" bestFit="1" customWidth="1"/>
    <col min="12046" max="12288" width="9.140625" style="2"/>
    <col min="12289" max="12289" width="51.140625" style="2" customWidth="1"/>
    <col min="12290" max="12290" width="56.7109375" style="2" customWidth="1"/>
    <col min="12291" max="12291" width="12.42578125" style="2" customWidth="1"/>
    <col min="12292" max="12292" width="14.5703125" style="2" customWidth="1"/>
    <col min="12293" max="12293" width="15.85546875" style="2" customWidth="1"/>
    <col min="12294" max="12294" width="15.42578125" style="2" customWidth="1"/>
    <col min="12295" max="12295" width="14.85546875" style="2" customWidth="1"/>
    <col min="12296" max="12296" width="15.42578125" style="2" customWidth="1"/>
    <col min="12297" max="12297" width="14.140625" style="2" customWidth="1"/>
    <col min="12298" max="12298" width="14.28515625" style="2" customWidth="1"/>
    <col min="12299" max="12299" width="11.5703125" style="2" customWidth="1"/>
    <col min="12300" max="12300" width="10.28515625" style="2" customWidth="1"/>
    <col min="12301" max="12301" width="9.7109375" style="2" bestFit="1" customWidth="1"/>
    <col min="12302" max="12544" width="9.140625" style="2"/>
    <col min="12545" max="12545" width="51.140625" style="2" customWidth="1"/>
    <col min="12546" max="12546" width="56.7109375" style="2" customWidth="1"/>
    <col min="12547" max="12547" width="12.42578125" style="2" customWidth="1"/>
    <col min="12548" max="12548" width="14.5703125" style="2" customWidth="1"/>
    <col min="12549" max="12549" width="15.85546875" style="2" customWidth="1"/>
    <col min="12550" max="12550" width="15.42578125" style="2" customWidth="1"/>
    <col min="12551" max="12551" width="14.85546875" style="2" customWidth="1"/>
    <col min="12552" max="12552" width="15.42578125" style="2" customWidth="1"/>
    <col min="12553" max="12553" width="14.140625" style="2" customWidth="1"/>
    <col min="12554" max="12554" width="14.28515625" style="2" customWidth="1"/>
    <col min="12555" max="12555" width="11.5703125" style="2" customWidth="1"/>
    <col min="12556" max="12556" width="10.28515625" style="2" customWidth="1"/>
    <col min="12557" max="12557" width="9.7109375" style="2" bestFit="1" customWidth="1"/>
    <col min="12558" max="12800" width="9.140625" style="2"/>
    <col min="12801" max="12801" width="51.140625" style="2" customWidth="1"/>
    <col min="12802" max="12802" width="56.7109375" style="2" customWidth="1"/>
    <col min="12803" max="12803" width="12.42578125" style="2" customWidth="1"/>
    <col min="12804" max="12804" width="14.5703125" style="2" customWidth="1"/>
    <col min="12805" max="12805" width="15.85546875" style="2" customWidth="1"/>
    <col min="12806" max="12806" width="15.42578125" style="2" customWidth="1"/>
    <col min="12807" max="12807" width="14.85546875" style="2" customWidth="1"/>
    <col min="12808" max="12808" width="15.42578125" style="2" customWidth="1"/>
    <col min="12809" max="12809" width="14.140625" style="2" customWidth="1"/>
    <col min="12810" max="12810" width="14.28515625" style="2" customWidth="1"/>
    <col min="12811" max="12811" width="11.5703125" style="2" customWidth="1"/>
    <col min="12812" max="12812" width="10.28515625" style="2" customWidth="1"/>
    <col min="12813" max="12813" width="9.7109375" style="2" bestFit="1" customWidth="1"/>
    <col min="12814" max="13056" width="9.140625" style="2"/>
    <col min="13057" max="13057" width="51.140625" style="2" customWidth="1"/>
    <col min="13058" max="13058" width="56.7109375" style="2" customWidth="1"/>
    <col min="13059" max="13059" width="12.42578125" style="2" customWidth="1"/>
    <col min="13060" max="13060" width="14.5703125" style="2" customWidth="1"/>
    <col min="13061" max="13061" width="15.85546875" style="2" customWidth="1"/>
    <col min="13062" max="13062" width="15.42578125" style="2" customWidth="1"/>
    <col min="13063" max="13063" width="14.85546875" style="2" customWidth="1"/>
    <col min="13064" max="13064" width="15.42578125" style="2" customWidth="1"/>
    <col min="13065" max="13065" width="14.140625" style="2" customWidth="1"/>
    <col min="13066" max="13066" width="14.28515625" style="2" customWidth="1"/>
    <col min="13067" max="13067" width="11.5703125" style="2" customWidth="1"/>
    <col min="13068" max="13068" width="10.28515625" style="2" customWidth="1"/>
    <col min="13069" max="13069" width="9.7109375" style="2" bestFit="1" customWidth="1"/>
    <col min="13070" max="13312" width="9.140625" style="2"/>
    <col min="13313" max="13313" width="51.140625" style="2" customWidth="1"/>
    <col min="13314" max="13314" width="56.7109375" style="2" customWidth="1"/>
    <col min="13315" max="13315" width="12.42578125" style="2" customWidth="1"/>
    <col min="13316" max="13316" width="14.5703125" style="2" customWidth="1"/>
    <col min="13317" max="13317" width="15.85546875" style="2" customWidth="1"/>
    <col min="13318" max="13318" width="15.42578125" style="2" customWidth="1"/>
    <col min="13319" max="13319" width="14.85546875" style="2" customWidth="1"/>
    <col min="13320" max="13320" width="15.42578125" style="2" customWidth="1"/>
    <col min="13321" max="13321" width="14.140625" style="2" customWidth="1"/>
    <col min="13322" max="13322" width="14.28515625" style="2" customWidth="1"/>
    <col min="13323" max="13323" width="11.5703125" style="2" customWidth="1"/>
    <col min="13324" max="13324" width="10.28515625" style="2" customWidth="1"/>
    <col min="13325" max="13325" width="9.7109375" style="2" bestFit="1" customWidth="1"/>
    <col min="13326" max="13568" width="9.140625" style="2"/>
    <col min="13569" max="13569" width="51.140625" style="2" customWidth="1"/>
    <col min="13570" max="13570" width="56.7109375" style="2" customWidth="1"/>
    <col min="13571" max="13571" width="12.42578125" style="2" customWidth="1"/>
    <col min="13572" max="13572" width="14.5703125" style="2" customWidth="1"/>
    <col min="13573" max="13573" width="15.85546875" style="2" customWidth="1"/>
    <col min="13574" max="13574" width="15.42578125" style="2" customWidth="1"/>
    <col min="13575" max="13575" width="14.85546875" style="2" customWidth="1"/>
    <col min="13576" max="13576" width="15.42578125" style="2" customWidth="1"/>
    <col min="13577" max="13577" width="14.140625" style="2" customWidth="1"/>
    <col min="13578" max="13578" width="14.28515625" style="2" customWidth="1"/>
    <col min="13579" max="13579" width="11.5703125" style="2" customWidth="1"/>
    <col min="13580" max="13580" width="10.28515625" style="2" customWidth="1"/>
    <col min="13581" max="13581" width="9.7109375" style="2" bestFit="1" customWidth="1"/>
    <col min="13582" max="13824" width="9.140625" style="2"/>
    <col min="13825" max="13825" width="51.140625" style="2" customWidth="1"/>
    <col min="13826" max="13826" width="56.7109375" style="2" customWidth="1"/>
    <col min="13827" max="13827" width="12.42578125" style="2" customWidth="1"/>
    <col min="13828" max="13828" width="14.5703125" style="2" customWidth="1"/>
    <col min="13829" max="13829" width="15.85546875" style="2" customWidth="1"/>
    <col min="13830" max="13830" width="15.42578125" style="2" customWidth="1"/>
    <col min="13831" max="13831" width="14.85546875" style="2" customWidth="1"/>
    <col min="13832" max="13832" width="15.42578125" style="2" customWidth="1"/>
    <col min="13833" max="13833" width="14.140625" style="2" customWidth="1"/>
    <col min="13834" max="13834" width="14.28515625" style="2" customWidth="1"/>
    <col min="13835" max="13835" width="11.5703125" style="2" customWidth="1"/>
    <col min="13836" max="13836" width="10.28515625" style="2" customWidth="1"/>
    <col min="13837" max="13837" width="9.7109375" style="2" bestFit="1" customWidth="1"/>
    <col min="13838" max="14080" width="9.140625" style="2"/>
    <col min="14081" max="14081" width="51.140625" style="2" customWidth="1"/>
    <col min="14082" max="14082" width="56.7109375" style="2" customWidth="1"/>
    <col min="14083" max="14083" width="12.42578125" style="2" customWidth="1"/>
    <col min="14084" max="14084" width="14.5703125" style="2" customWidth="1"/>
    <col min="14085" max="14085" width="15.85546875" style="2" customWidth="1"/>
    <col min="14086" max="14086" width="15.42578125" style="2" customWidth="1"/>
    <col min="14087" max="14087" width="14.85546875" style="2" customWidth="1"/>
    <col min="14088" max="14088" width="15.42578125" style="2" customWidth="1"/>
    <col min="14089" max="14089" width="14.140625" style="2" customWidth="1"/>
    <col min="14090" max="14090" width="14.28515625" style="2" customWidth="1"/>
    <col min="14091" max="14091" width="11.5703125" style="2" customWidth="1"/>
    <col min="14092" max="14092" width="10.28515625" style="2" customWidth="1"/>
    <col min="14093" max="14093" width="9.7109375" style="2" bestFit="1" customWidth="1"/>
    <col min="14094" max="14336" width="9.140625" style="2"/>
    <col min="14337" max="14337" width="51.140625" style="2" customWidth="1"/>
    <col min="14338" max="14338" width="56.7109375" style="2" customWidth="1"/>
    <col min="14339" max="14339" width="12.42578125" style="2" customWidth="1"/>
    <col min="14340" max="14340" width="14.5703125" style="2" customWidth="1"/>
    <col min="14341" max="14341" width="15.85546875" style="2" customWidth="1"/>
    <col min="14342" max="14342" width="15.42578125" style="2" customWidth="1"/>
    <col min="14343" max="14343" width="14.85546875" style="2" customWidth="1"/>
    <col min="14344" max="14344" width="15.42578125" style="2" customWidth="1"/>
    <col min="14345" max="14345" width="14.140625" style="2" customWidth="1"/>
    <col min="14346" max="14346" width="14.28515625" style="2" customWidth="1"/>
    <col min="14347" max="14347" width="11.5703125" style="2" customWidth="1"/>
    <col min="14348" max="14348" width="10.28515625" style="2" customWidth="1"/>
    <col min="14349" max="14349" width="9.7109375" style="2" bestFit="1" customWidth="1"/>
    <col min="14350" max="14592" width="9.140625" style="2"/>
    <col min="14593" max="14593" width="51.140625" style="2" customWidth="1"/>
    <col min="14594" max="14594" width="56.7109375" style="2" customWidth="1"/>
    <col min="14595" max="14595" width="12.42578125" style="2" customWidth="1"/>
    <col min="14596" max="14596" width="14.5703125" style="2" customWidth="1"/>
    <col min="14597" max="14597" width="15.85546875" style="2" customWidth="1"/>
    <col min="14598" max="14598" width="15.42578125" style="2" customWidth="1"/>
    <col min="14599" max="14599" width="14.85546875" style="2" customWidth="1"/>
    <col min="14600" max="14600" width="15.42578125" style="2" customWidth="1"/>
    <col min="14601" max="14601" width="14.140625" style="2" customWidth="1"/>
    <col min="14602" max="14602" width="14.28515625" style="2" customWidth="1"/>
    <col min="14603" max="14603" width="11.5703125" style="2" customWidth="1"/>
    <col min="14604" max="14604" width="10.28515625" style="2" customWidth="1"/>
    <col min="14605" max="14605" width="9.7109375" style="2" bestFit="1" customWidth="1"/>
    <col min="14606" max="14848" width="9.140625" style="2"/>
    <col min="14849" max="14849" width="51.140625" style="2" customWidth="1"/>
    <col min="14850" max="14850" width="56.7109375" style="2" customWidth="1"/>
    <col min="14851" max="14851" width="12.42578125" style="2" customWidth="1"/>
    <col min="14852" max="14852" width="14.5703125" style="2" customWidth="1"/>
    <col min="14853" max="14853" width="15.85546875" style="2" customWidth="1"/>
    <col min="14854" max="14854" width="15.42578125" style="2" customWidth="1"/>
    <col min="14855" max="14855" width="14.85546875" style="2" customWidth="1"/>
    <col min="14856" max="14856" width="15.42578125" style="2" customWidth="1"/>
    <col min="14857" max="14857" width="14.140625" style="2" customWidth="1"/>
    <col min="14858" max="14858" width="14.28515625" style="2" customWidth="1"/>
    <col min="14859" max="14859" width="11.5703125" style="2" customWidth="1"/>
    <col min="14860" max="14860" width="10.28515625" style="2" customWidth="1"/>
    <col min="14861" max="14861" width="9.7109375" style="2" bestFit="1" customWidth="1"/>
    <col min="14862" max="15104" width="9.140625" style="2"/>
    <col min="15105" max="15105" width="51.140625" style="2" customWidth="1"/>
    <col min="15106" max="15106" width="56.7109375" style="2" customWidth="1"/>
    <col min="15107" max="15107" width="12.42578125" style="2" customWidth="1"/>
    <col min="15108" max="15108" width="14.5703125" style="2" customWidth="1"/>
    <col min="15109" max="15109" width="15.85546875" style="2" customWidth="1"/>
    <col min="15110" max="15110" width="15.42578125" style="2" customWidth="1"/>
    <col min="15111" max="15111" width="14.85546875" style="2" customWidth="1"/>
    <col min="15112" max="15112" width="15.42578125" style="2" customWidth="1"/>
    <col min="15113" max="15113" width="14.140625" style="2" customWidth="1"/>
    <col min="15114" max="15114" width="14.28515625" style="2" customWidth="1"/>
    <col min="15115" max="15115" width="11.5703125" style="2" customWidth="1"/>
    <col min="15116" max="15116" width="10.28515625" style="2" customWidth="1"/>
    <col min="15117" max="15117" width="9.7109375" style="2" bestFit="1" customWidth="1"/>
    <col min="15118" max="15360" width="9.140625" style="2"/>
    <col min="15361" max="15361" width="51.140625" style="2" customWidth="1"/>
    <col min="15362" max="15362" width="56.7109375" style="2" customWidth="1"/>
    <col min="15363" max="15363" width="12.42578125" style="2" customWidth="1"/>
    <col min="15364" max="15364" width="14.5703125" style="2" customWidth="1"/>
    <col min="15365" max="15365" width="15.85546875" style="2" customWidth="1"/>
    <col min="15366" max="15366" width="15.42578125" style="2" customWidth="1"/>
    <col min="15367" max="15367" width="14.85546875" style="2" customWidth="1"/>
    <col min="15368" max="15368" width="15.42578125" style="2" customWidth="1"/>
    <col min="15369" max="15369" width="14.140625" style="2" customWidth="1"/>
    <col min="15370" max="15370" width="14.28515625" style="2" customWidth="1"/>
    <col min="15371" max="15371" width="11.5703125" style="2" customWidth="1"/>
    <col min="15372" max="15372" width="10.28515625" style="2" customWidth="1"/>
    <col min="15373" max="15373" width="9.7109375" style="2" bestFit="1" customWidth="1"/>
    <col min="15374" max="15616" width="9.140625" style="2"/>
    <col min="15617" max="15617" width="51.140625" style="2" customWidth="1"/>
    <col min="15618" max="15618" width="56.7109375" style="2" customWidth="1"/>
    <col min="15619" max="15619" width="12.42578125" style="2" customWidth="1"/>
    <col min="15620" max="15620" width="14.5703125" style="2" customWidth="1"/>
    <col min="15621" max="15621" width="15.85546875" style="2" customWidth="1"/>
    <col min="15622" max="15622" width="15.42578125" style="2" customWidth="1"/>
    <col min="15623" max="15623" width="14.85546875" style="2" customWidth="1"/>
    <col min="15624" max="15624" width="15.42578125" style="2" customWidth="1"/>
    <col min="15625" max="15625" width="14.140625" style="2" customWidth="1"/>
    <col min="15626" max="15626" width="14.28515625" style="2" customWidth="1"/>
    <col min="15627" max="15627" width="11.5703125" style="2" customWidth="1"/>
    <col min="15628" max="15628" width="10.28515625" style="2" customWidth="1"/>
    <col min="15629" max="15629" width="9.7109375" style="2" bestFit="1" customWidth="1"/>
    <col min="15630" max="15872" width="9.140625" style="2"/>
    <col min="15873" max="15873" width="51.140625" style="2" customWidth="1"/>
    <col min="15874" max="15874" width="56.7109375" style="2" customWidth="1"/>
    <col min="15875" max="15875" width="12.42578125" style="2" customWidth="1"/>
    <col min="15876" max="15876" width="14.5703125" style="2" customWidth="1"/>
    <col min="15877" max="15877" width="15.85546875" style="2" customWidth="1"/>
    <col min="15878" max="15878" width="15.42578125" style="2" customWidth="1"/>
    <col min="15879" max="15879" width="14.85546875" style="2" customWidth="1"/>
    <col min="15880" max="15880" width="15.42578125" style="2" customWidth="1"/>
    <col min="15881" max="15881" width="14.140625" style="2" customWidth="1"/>
    <col min="15882" max="15882" width="14.28515625" style="2" customWidth="1"/>
    <col min="15883" max="15883" width="11.5703125" style="2" customWidth="1"/>
    <col min="15884" max="15884" width="10.28515625" style="2" customWidth="1"/>
    <col min="15885" max="15885" width="9.7109375" style="2" bestFit="1" customWidth="1"/>
    <col min="15886" max="16128" width="9.140625" style="2"/>
    <col min="16129" max="16129" width="51.140625" style="2" customWidth="1"/>
    <col min="16130" max="16130" width="56.7109375" style="2" customWidth="1"/>
    <col min="16131" max="16131" width="12.42578125" style="2" customWidth="1"/>
    <col min="16132" max="16132" width="14.5703125" style="2" customWidth="1"/>
    <col min="16133" max="16133" width="15.85546875" style="2" customWidth="1"/>
    <col min="16134" max="16134" width="15.42578125" style="2" customWidth="1"/>
    <col min="16135" max="16135" width="14.85546875" style="2" customWidth="1"/>
    <col min="16136" max="16136" width="15.42578125" style="2" customWidth="1"/>
    <col min="16137" max="16137" width="14.140625" style="2" customWidth="1"/>
    <col min="16138" max="16138" width="14.28515625" style="2" customWidth="1"/>
    <col min="16139" max="16139" width="11.5703125" style="2" customWidth="1"/>
    <col min="16140" max="16140" width="10.28515625" style="2" customWidth="1"/>
    <col min="16141" max="16141" width="9.7109375" style="2" bestFit="1" customWidth="1"/>
    <col min="16142" max="16384" width="9.140625" style="2"/>
  </cols>
  <sheetData>
    <row r="2" spans="1:11">
      <c r="D2" s="3"/>
      <c r="H2" s="3"/>
      <c r="J2" s="5"/>
    </row>
    <row r="3" spans="1:11" ht="15">
      <c r="D3" s="3"/>
      <c r="E3" s="7"/>
      <c r="F3" s="3"/>
      <c r="H3" s="3"/>
      <c r="J3" s="5"/>
    </row>
    <row r="4" spans="1:11" ht="15.75" thickBot="1">
      <c r="D4" s="3"/>
      <c r="E4" s="8"/>
      <c r="F4" s="3"/>
      <c r="G4" s="3"/>
      <c r="H4" s="3"/>
      <c r="I4" s="5"/>
      <c r="J4" s="5"/>
    </row>
    <row r="5" spans="1:11" ht="51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1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4" t="s">
        <v>10</v>
      </c>
    </row>
    <row r="6" spans="1:11">
      <c r="A6" s="15"/>
      <c r="B6" s="16"/>
      <c r="C6" s="17"/>
      <c r="D6" s="16"/>
      <c r="E6" s="18"/>
      <c r="F6" s="17"/>
      <c r="G6" s="18"/>
      <c r="H6" s="17"/>
      <c r="I6" s="19"/>
      <c r="J6" s="20"/>
      <c r="K6" s="21"/>
    </row>
    <row r="7" spans="1:11">
      <c r="A7" s="22"/>
      <c r="B7" s="23"/>
      <c r="C7" s="24"/>
      <c r="D7" s="16"/>
      <c r="E7" s="18"/>
      <c r="F7" s="24"/>
      <c r="G7" s="18"/>
      <c r="H7" s="24"/>
      <c r="I7" s="19"/>
      <c r="J7" s="25"/>
      <c r="K7" s="21"/>
    </row>
    <row r="8" spans="1:11" ht="15">
      <c r="A8" s="22" t="s">
        <v>11</v>
      </c>
      <c r="B8" s="26" t="s">
        <v>12</v>
      </c>
      <c r="C8" s="27">
        <v>111487</v>
      </c>
      <c r="D8" s="21">
        <v>111487</v>
      </c>
      <c r="E8" s="28">
        <v>-344</v>
      </c>
      <c r="F8" s="27">
        <v>0</v>
      </c>
      <c r="G8" s="28">
        <f>6000-176</f>
        <v>5824</v>
      </c>
      <c r="H8" s="27">
        <v>0</v>
      </c>
      <c r="I8" s="29">
        <v>0</v>
      </c>
      <c r="J8" s="30">
        <v>0</v>
      </c>
      <c r="K8" s="21">
        <f>SUM(D8:J8)</f>
        <v>116967</v>
      </c>
    </row>
    <row r="9" spans="1:11" ht="15">
      <c r="A9" s="22"/>
      <c r="B9" s="26" t="s">
        <v>13</v>
      </c>
      <c r="C9" s="27">
        <v>0</v>
      </c>
      <c r="D9" s="21">
        <v>0</v>
      </c>
      <c r="E9" s="28">
        <v>0</v>
      </c>
      <c r="F9" s="27">
        <v>0</v>
      </c>
      <c r="G9" s="28">
        <f>800+16000</f>
        <v>16800</v>
      </c>
      <c r="H9" s="27">
        <v>0</v>
      </c>
      <c r="I9" s="29">
        <v>0</v>
      </c>
      <c r="J9" s="30">
        <v>0</v>
      </c>
      <c r="K9" s="21">
        <f>SUM(D9:J9)</f>
        <v>16800</v>
      </c>
    </row>
    <row r="10" spans="1:11" s="34" customFormat="1">
      <c r="A10" s="31"/>
      <c r="B10" s="32" t="s">
        <v>14</v>
      </c>
      <c r="C10" s="33">
        <f>SUM(C8:C9)</f>
        <v>111487</v>
      </c>
      <c r="D10" s="33">
        <f t="shared" ref="D10:K10" si="0">SUM(D8:D9)</f>
        <v>111487</v>
      </c>
      <c r="E10" s="33">
        <f t="shared" si="0"/>
        <v>-344</v>
      </c>
      <c r="F10" s="33">
        <f t="shared" si="0"/>
        <v>0</v>
      </c>
      <c r="G10" s="33">
        <f t="shared" si="0"/>
        <v>22624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133767</v>
      </c>
    </row>
    <row r="11" spans="1:11">
      <c r="A11" s="22"/>
      <c r="B11" s="35"/>
      <c r="C11" s="27"/>
      <c r="D11" s="21"/>
      <c r="E11" s="28"/>
      <c r="F11" s="27"/>
      <c r="G11" s="28"/>
      <c r="H11" s="27"/>
      <c r="I11" s="29"/>
      <c r="J11" s="30"/>
      <c r="K11" s="21"/>
    </row>
    <row r="12" spans="1:11" ht="15">
      <c r="A12" s="22" t="s">
        <v>15</v>
      </c>
      <c r="B12" t="s">
        <v>16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9">
        <v>0</v>
      </c>
      <c r="J12" s="30">
        <v>0</v>
      </c>
      <c r="K12" s="21">
        <v>0</v>
      </c>
    </row>
    <row r="13" spans="1:11" ht="15">
      <c r="A13" s="22"/>
      <c r="B13" t="s">
        <v>12</v>
      </c>
      <c r="C13" s="27">
        <v>26945</v>
      </c>
      <c r="D13" s="27">
        <v>26945</v>
      </c>
      <c r="E13" s="27">
        <v>-83</v>
      </c>
      <c r="F13" s="27">
        <v>0</v>
      </c>
      <c r="G13" s="27">
        <v>0</v>
      </c>
      <c r="H13" s="27">
        <v>0</v>
      </c>
      <c r="I13" s="29">
        <v>0</v>
      </c>
      <c r="J13" s="30">
        <v>0</v>
      </c>
      <c r="K13" s="21">
        <f>SUM(D13:J13)</f>
        <v>26862</v>
      </c>
    </row>
    <row r="14" spans="1:11" s="34" customFormat="1">
      <c r="A14" s="31"/>
      <c r="B14" s="36" t="s">
        <v>17</v>
      </c>
      <c r="C14" s="33">
        <f>SUM(C13:C13)</f>
        <v>26945</v>
      </c>
      <c r="D14" s="33">
        <f>SUM(D12:D13)</f>
        <v>26945</v>
      </c>
      <c r="E14" s="33">
        <f t="shared" ref="E14:K14" si="1">SUM(E12:E13)</f>
        <v>-83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26862</v>
      </c>
    </row>
    <row r="15" spans="1:11">
      <c r="A15" s="22"/>
      <c r="B15" s="35"/>
      <c r="C15" s="27"/>
      <c r="D15" s="21"/>
      <c r="E15" s="28"/>
      <c r="F15" s="27"/>
      <c r="G15" s="28"/>
      <c r="H15" s="27"/>
      <c r="I15" s="29"/>
      <c r="J15" s="30"/>
      <c r="K15" s="21"/>
    </row>
    <row r="16" spans="1:11" ht="15">
      <c r="A16" s="22" t="s">
        <v>18</v>
      </c>
      <c r="B16" s="37" t="s">
        <v>19</v>
      </c>
      <c r="C16" s="27">
        <v>13449</v>
      </c>
      <c r="D16" s="21">
        <v>10449</v>
      </c>
      <c r="E16" s="28">
        <v>-32</v>
      </c>
      <c r="F16" s="27">
        <v>0</v>
      </c>
      <c r="G16" s="21">
        <v>0</v>
      </c>
      <c r="H16" s="27">
        <v>0</v>
      </c>
      <c r="I16" s="30">
        <v>0</v>
      </c>
      <c r="J16" s="27">
        <v>-15</v>
      </c>
      <c r="K16" s="38">
        <f>SUM(D16:J16)</f>
        <v>10402</v>
      </c>
    </row>
    <row r="17" spans="1:11" ht="15">
      <c r="A17" s="22"/>
      <c r="B17" s="37" t="s">
        <v>20</v>
      </c>
      <c r="C17" s="27">
        <v>7053</v>
      </c>
      <c r="D17" s="21">
        <v>7053</v>
      </c>
      <c r="E17" s="28">
        <v>-22</v>
      </c>
      <c r="F17" s="27">
        <v>0</v>
      </c>
      <c r="G17" s="21">
        <v>1500</v>
      </c>
      <c r="H17" s="27">
        <v>0</v>
      </c>
      <c r="I17" s="30">
        <v>0</v>
      </c>
      <c r="J17" s="27">
        <f>1093+200</f>
        <v>1293</v>
      </c>
      <c r="K17" s="38">
        <f t="shared" ref="K17:K26" si="2">SUM(D17:J17)</f>
        <v>9824</v>
      </c>
    </row>
    <row r="18" spans="1:11" ht="15">
      <c r="A18" s="22"/>
      <c r="B18" s="37" t="s">
        <v>21</v>
      </c>
      <c r="C18" s="27">
        <v>2820</v>
      </c>
      <c r="D18" s="21">
        <v>2820</v>
      </c>
      <c r="E18" s="28">
        <v>-9</v>
      </c>
      <c r="F18" s="27">
        <v>0</v>
      </c>
      <c r="G18" s="21">
        <v>0</v>
      </c>
      <c r="H18" s="27">
        <v>0</v>
      </c>
      <c r="I18" s="30">
        <v>0</v>
      </c>
      <c r="J18" s="27">
        <v>54</v>
      </c>
      <c r="K18" s="38">
        <f t="shared" si="2"/>
        <v>2865</v>
      </c>
    </row>
    <row r="19" spans="1:11" ht="15">
      <c r="A19" s="22"/>
      <c r="B19" s="37" t="s">
        <v>22</v>
      </c>
      <c r="C19" s="27">
        <v>68037</v>
      </c>
      <c r="D19" s="21">
        <v>68037</v>
      </c>
      <c r="E19" s="28">
        <v>-210</v>
      </c>
      <c r="F19" s="27">
        <v>0</v>
      </c>
      <c r="G19" s="21">
        <v>7411</v>
      </c>
      <c r="H19" s="27">
        <v>0</v>
      </c>
      <c r="I19" s="30">
        <v>0</v>
      </c>
      <c r="J19" s="27">
        <f>-1596+1500</f>
        <v>-96</v>
      </c>
      <c r="K19" s="38">
        <f t="shared" si="2"/>
        <v>75142</v>
      </c>
    </row>
    <row r="20" spans="1:11" ht="15">
      <c r="A20" s="22"/>
      <c r="B20" s="37" t="s">
        <v>23</v>
      </c>
      <c r="C20" s="27">
        <v>196232</v>
      </c>
      <c r="D20" s="21">
        <v>196232</v>
      </c>
      <c r="E20" s="28">
        <v>-605</v>
      </c>
      <c r="F20" s="27">
        <v>0</v>
      </c>
      <c r="G20" s="21">
        <v>0</v>
      </c>
      <c r="H20" s="27">
        <v>0</v>
      </c>
      <c r="I20" s="30">
        <v>-31500</v>
      </c>
      <c r="J20" s="27">
        <f>-6795-2062</f>
        <v>-8857</v>
      </c>
      <c r="K20" s="38">
        <f t="shared" si="2"/>
        <v>155270</v>
      </c>
    </row>
    <row r="21" spans="1:11" ht="15">
      <c r="A21" s="22"/>
      <c r="B21" s="37" t="s">
        <v>24</v>
      </c>
      <c r="C21" s="27">
        <v>3051</v>
      </c>
      <c r="D21" s="21">
        <v>3051</v>
      </c>
      <c r="E21" s="28">
        <v>-9</v>
      </c>
      <c r="F21" s="27">
        <v>0</v>
      </c>
      <c r="G21" s="21">
        <v>0</v>
      </c>
      <c r="H21" s="27">
        <v>0</v>
      </c>
      <c r="I21" s="30">
        <v>0</v>
      </c>
      <c r="J21" s="27">
        <v>1368</v>
      </c>
      <c r="K21" s="38">
        <f t="shared" si="2"/>
        <v>4410</v>
      </c>
    </row>
    <row r="22" spans="1:11" ht="15">
      <c r="A22" s="22"/>
      <c r="B22" s="37" t="s">
        <v>25</v>
      </c>
      <c r="C22" s="27">
        <v>89725</v>
      </c>
      <c r="D22" s="21">
        <v>89725</v>
      </c>
      <c r="E22" s="28">
        <v>-277</v>
      </c>
      <c r="F22" s="27">
        <v>0</v>
      </c>
      <c r="G22" s="21">
        <v>0</v>
      </c>
      <c r="H22" s="27">
        <v>0</v>
      </c>
      <c r="I22" s="30">
        <v>0</v>
      </c>
      <c r="J22" s="27">
        <f>5920+362</f>
        <v>6282</v>
      </c>
      <c r="K22" s="38">
        <f t="shared" si="2"/>
        <v>95730</v>
      </c>
    </row>
    <row r="23" spans="1:11" ht="15">
      <c r="A23" s="22"/>
      <c r="B23" s="37" t="s">
        <v>26</v>
      </c>
      <c r="C23" s="27">
        <v>1780</v>
      </c>
      <c r="D23" s="21">
        <v>1780</v>
      </c>
      <c r="E23" s="28">
        <v>-5</v>
      </c>
      <c r="F23" s="27">
        <v>0</v>
      </c>
      <c r="G23" s="21">
        <v>0</v>
      </c>
      <c r="H23" s="27">
        <v>0</v>
      </c>
      <c r="I23" s="30">
        <v>0</v>
      </c>
      <c r="J23" s="27">
        <v>-3</v>
      </c>
      <c r="K23" s="38">
        <f t="shared" si="2"/>
        <v>1772</v>
      </c>
    </row>
    <row r="24" spans="1:11" ht="15">
      <c r="A24" s="22"/>
      <c r="B24" s="39" t="s">
        <v>27</v>
      </c>
      <c r="C24" s="27">
        <v>0</v>
      </c>
      <c r="D24" s="21">
        <v>0</v>
      </c>
      <c r="E24" s="28">
        <v>0</v>
      </c>
      <c r="F24" s="27">
        <v>0</v>
      </c>
      <c r="G24" s="21">
        <v>0</v>
      </c>
      <c r="H24" s="27">
        <v>0</v>
      </c>
      <c r="I24" s="30">
        <f>500+826</f>
        <v>1326</v>
      </c>
      <c r="J24" s="27">
        <v>0</v>
      </c>
      <c r="K24" s="38">
        <f t="shared" si="2"/>
        <v>1326</v>
      </c>
    </row>
    <row r="25" spans="1:11" ht="15">
      <c r="A25" s="22"/>
      <c r="B25" s="39" t="s">
        <v>28</v>
      </c>
      <c r="C25" s="27">
        <v>2835</v>
      </c>
      <c r="D25" s="21">
        <v>0</v>
      </c>
      <c r="E25" s="28">
        <v>0</v>
      </c>
      <c r="F25" s="27">
        <v>0</v>
      </c>
      <c r="G25" s="21">
        <v>0</v>
      </c>
      <c r="H25" s="27">
        <v>0</v>
      </c>
      <c r="I25" s="30">
        <v>0</v>
      </c>
      <c r="J25" s="27">
        <v>0</v>
      </c>
      <c r="K25" s="38">
        <f t="shared" si="2"/>
        <v>0</v>
      </c>
    </row>
    <row r="26" spans="1:11" ht="15">
      <c r="A26" s="22"/>
      <c r="B26" s="39" t="s">
        <v>29</v>
      </c>
      <c r="C26" s="27">
        <v>18188</v>
      </c>
      <c r="D26" s="21">
        <v>18188</v>
      </c>
      <c r="E26" s="28">
        <v>-56</v>
      </c>
      <c r="F26" s="27">
        <v>0</v>
      </c>
      <c r="G26" s="21">
        <v>0</v>
      </c>
      <c r="H26" s="27">
        <v>0</v>
      </c>
      <c r="I26" s="30">
        <v>0</v>
      </c>
      <c r="J26" s="27">
        <v>-26</v>
      </c>
      <c r="K26" s="38">
        <f t="shared" si="2"/>
        <v>18106</v>
      </c>
    </row>
    <row r="27" spans="1:11" s="34" customFormat="1">
      <c r="A27" s="31"/>
      <c r="B27" s="36" t="s">
        <v>30</v>
      </c>
      <c r="C27" s="33">
        <f>SUM(C16:C26)</f>
        <v>403170</v>
      </c>
      <c r="D27" s="33">
        <f>SUM(D16:D26)</f>
        <v>397335</v>
      </c>
      <c r="E27" s="33">
        <f t="shared" ref="E27:K27" si="3">SUM(E16:E26)</f>
        <v>-1225</v>
      </c>
      <c r="F27" s="33">
        <f t="shared" si="3"/>
        <v>0</v>
      </c>
      <c r="G27" s="33">
        <f t="shared" si="3"/>
        <v>8911</v>
      </c>
      <c r="H27" s="33">
        <f t="shared" si="3"/>
        <v>0</v>
      </c>
      <c r="I27" s="33">
        <f t="shared" si="3"/>
        <v>-30174</v>
      </c>
      <c r="J27" s="33">
        <f t="shared" si="3"/>
        <v>0</v>
      </c>
      <c r="K27" s="33">
        <f t="shared" si="3"/>
        <v>374847</v>
      </c>
    </row>
    <row r="28" spans="1:11">
      <c r="A28" s="22"/>
      <c r="B28" s="35"/>
      <c r="C28" s="27"/>
      <c r="D28" s="21"/>
      <c r="E28" s="28"/>
      <c r="F28" s="27"/>
      <c r="G28" s="28"/>
      <c r="H28" s="27"/>
      <c r="I28" s="29"/>
      <c r="J28" s="30"/>
      <c r="K28" s="21"/>
    </row>
    <row r="29" spans="1:11" ht="15">
      <c r="A29" s="22" t="s">
        <v>31</v>
      </c>
      <c r="B29" t="s">
        <v>12</v>
      </c>
      <c r="C29" s="27">
        <v>7728</v>
      </c>
      <c r="D29" s="21">
        <v>7728</v>
      </c>
      <c r="E29" s="28">
        <v>-24</v>
      </c>
      <c r="F29" s="27">
        <v>0</v>
      </c>
      <c r="G29" s="21">
        <v>0</v>
      </c>
      <c r="H29" s="27">
        <v>0</v>
      </c>
      <c r="I29" s="29">
        <v>0</v>
      </c>
      <c r="J29" s="30">
        <v>0</v>
      </c>
      <c r="K29" s="38">
        <f>SUM(D29:J29)</f>
        <v>7704</v>
      </c>
    </row>
    <row r="30" spans="1:11">
      <c r="A30" s="31"/>
      <c r="B30" s="36" t="s">
        <v>32</v>
      </c>
      <c r="C30" s="33">
        <f>SUM(C29)</f>
        <v>7728</v>
      </c>
      <c r="D30" s="33">
        <f t="shared" ref="D30:K30" si="4">SUM(D29)</f>
        <v>7728</v>
      </c>
      <c r="E30" s="33">
        <f t="shared" si="4"/>
        <v>-24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7704</v>
      </c>
    </row>
    <row r="31" spans="1:11">
      <c r="A31" s="22"/>
      <c r="B31" s="40"/>
      <c r="C31" s="27"/>
      <c r="D31" s="21"/>
      <c r="E31" s="28"/>
      <c r="F31" s="27"/>
      <c r="G31" s="28"/>
      <c r="H31" s="27"/>
      <c r="I31" s="29"/>
      <c r="J31" s="30"/>
      <c r="K31" s="21"/>
    </row>
    <row r="32" spans="1:11" ht="15">
      <c r="A32" s="22" t="s">
        <v>33</v>
      </c>
      <c r="B32" t="s">
        <v>34</v>
      </c>
      <c r="C32" s="27">
        <v>1489</v>
      </c>
      <c r="D32" s="21">
        <v>1489</v>
      </c>
      <c r="E32" s="28">
        <v>-5</v>
      </c>
      <c r="F32" s="27">
        <v>0</v>
      </c>
      <c r="G32" s="21">
        <v>0</v>
      </c>
      <c r="H32" s="27">
        <v>0</v>
      </c>
      <c r="I32" s="29">
        <v>0</v>
      </c>
      <c r="J32" s="30">
        <v>0</v>
      </c>
      <c r="K32" s="38">
        <f>SUM(D32:J32)</f>
        <v>1484</v>
      </c>
    </row>
    <row r="33" spans="1:11" s="34" customFormat="1">
      <c r="A33" s="31"/>
      <c r="B33" s="36" t="s">
        <v>35</v>
      </c>
      <c r="C33" s="33">
        <f>SUM(C32)</f>
        <v>1489</v>
      </c>
      <c r="D33" s="33">
        <f>SUM(D32)</f>
        <v>1489</v>
      </c>
      <c r="E33" s="33">
        <f t="shared" ref="E33:K33" si="5">SUM(E32)</f>
        <v>-5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1484</v>
      </c>
    </row>
    <row r="34" spans="1:11">
      <c r="A34" s="22"/>
      <c r="B34" s="40"/>
      <c r="C34" s="27"/>
      <c r="D34" s="21"/>
      <c r="E34" s="28"/>
      <c r="F34" s="27"/>
      <c r="G34" s="28"/>
      <c r="H34" s="27"/>
      <c r="I34" s="29"/>
      <c r="J34" s="30"/>
      <c r="K34" s="21"/>
    </row>
    <row r="35" spans="1:11" ht="15">
      <c r="A35" s="22" t="s">
        <v>36</v>
      </c>
      <c r="B35" t="s">
        <v>12</v>
      </c>
      <c r="C35" s="27">
        <v>12065</v>
      </c>
      <c r="D35" s="21">
        <v>12065</v>
      </c>
      <c r="E35" s="28">
        <v>-37</v>
      </c>
      <c r="F35" s="27">
        <v>0</v>
      </c>
      <c r="G35" s="21">
        <v>0</v>
      </c>
      <c r="H35" s="27">
        <v>0</v>
      </c>
      <c r="I35" s="29">
        <v>0</v>
      </c>
      <c r="J35" s="30">
        <v>0</v>
      </c>
      <c r="K35" s="38">
        <f>SUM(D35:J35)</f>
        <v>12028</v>
      </c>
    </row>
    <row r="36" spans="1:11" s="34" customFormat="1">
      <c r="A36" s="31"/>
      <c r="B36" s="36" t="s">
        <v>37</v>
      </c>
      <c r="C36" s="33">
        <f>SUM(C35)</f>
        <v>12065</v>
      </c>
      <c r="D36" s="33">
        <f t="shared" ref="D36:K36" si="6">SUM(D35)</f>
        <v>12065</v>
      </c>
      <c r="E36" s="33">
        <f t="shared" si="6"/>
        <v>-37</v>
      </c>
      <c r="F36" s="33">
        <f t="shared" si="6"/>
        <v>0</v>
      </c>
      <c r="G36" s="33">
        <f t="shared" si="6"/>
        <v>0</v>
      </c>
      <c r="H36" s="33">
        <f t="shared" si="6"/>
        <v>0</v>
      </c>
      <c r="I36" s="33">
        <f t="shared" si="6"/>
        <v>0</v>
      </c>
      <c r="J36" s="33">
        <f t="shared" si="6"/>
        <v>0</v>
      </c>
      <c r="K36" s="33">
        <f t="shared" si="6"/>
        <v>12028</v>
      </c>
    </row>
    <row r="37" spans="1:11">
      <c r="A37" s="22"/>
      <c r="B37" s="40"/>
      <c r="C37" s="27"/>
      <c r="D37" s="21"/>
      <c r="E37" s="28"/>
      <c r="F37" s="27"/>
      <c r="G37" s="28"/>
      <c r="H37" s="27"/>
      <c r="I37" s="29"/>
      <c r="J37" s="30"/>
      <c r="K37" s="21"/>
    </row>
    <row r="38" spans="1:11" ht="15">
      <c r="A38" s="22" t="s">
        <v>38</v>
      </c>
      <c r="B38" t="s">
        <v>39</v>
      </c>
      <c r="C38" s="27">
        <v>10431</v>
      </c>
      <c r="D38" s="21">
        <v>10431</v>
      </c>
      <c r="E38" s="28">
        <v>-32</v>
      </c>
      <c r="F38" s="27">
        <v>0</v>
      </c>
      <c r="G38" s="21">
        <v>0</v>
      </c>
      <c r="H38" s="27">
        <v>0</v>
      </c>
      <c r="I38" s="29">
        <v>7000</v>
      </c>
      <c r="J38" s="30">
        <v>0</v>
      </c>
      <c r="K38" s="38">
        <f>SUM(D38:J38)</f>
        <v>17399</v>
      </c>
    </row>
    <row r="39" spans="1:11" s="34" customFormat="1">
      <c r="A39" s="31"/>
      <c r="B39" s="36" t="s">
        <v>40</v>
      </c>
      <c r="C39" s="33">
        <v>10431</v>
      </c>
      <c r="D39" s="33">
        <f>SUM(D38)</f>
        <v>10431</v>
      </c>
      <c r="E39" s="33">
        <f t="shared" ref="E39:K39" si="7">SUM(E38)</f>
        <v>-32</v>
      </c>
      <c r="F39" s="33">
        <f t="shared" si="7"/>
        <v>0</v>
      </c>
      <c r="G39" s="33">
        <f t="shared" si="7"/>
        <v>0</v>
      </c>
      <c r="H39" s="33">
        <f t="shared" si="7"/>
        <v>0</v>
      </c>
      <c r="I39" s="33">
        <f t="shared" si="7"/>
        <v>7000</v>
      </c>
      <c r="J39" s="33">
        <f t="shared" si="7"/>
        <v>0</v>
      </c>
      <c r="K39" s="33">
        <f t="shared" si="7"/>
        <v>17399</v>
      </c>
    </row>
    <row r="40" spans="1:11">
      <c r="A40" s="22"/>
      <c r="B40" s="41"/>
      <c r="C40" s="27"/>
      <c r="D40" s="21"/>
      <c r="E40" s="28"/>
      <c r="F40" s="27"/>
      <c r="G40" s="28"/>
      <c r="H40" s="27"/>
      <c r="I40" s="29"/>
      <c r="J40" s="30"/>
      <c r="K40" s="21"/>
    </row>
    <row r="41" spans="1:11" ht="15">
      <c r="A41" s="22" t="s">
        <v>41</v>
      </c>
      <c r="B41" s="39" t="s">
        <v>42</v>
      </c>
      <c r="C41" s="27">
        <v>50</v>
      </c>
      <c r="D41" s="21">
        <v>50</v>
      </c>
      <c r="E41" s="28">
        <v>0</v>
      </c>
      <c r="F41" s="27">
        <v>0</v>
      </c>
      <c r="G41" s="21">
        <v>0</v>
      </c>
      <c r="H41" s="27">
        <v>0</v>
      </c>
      <c r="I41" s="29">
        <v>0</v>
      </c>
      <c r="J41" s="30">
        <v>0</v>
      </c>
      <c r="K41" s="38">
        <f>SUM(D41:J41)</f>
        <v>50</v>
      </c>
    </row>
    <row r="42" spans="1:11" ht="15">
      <c r="A42" s="22"/>
      <c r="B42" s="37" t="s">
        <v>43</v>
      </c>
      <c r="C42" s="27">
        <v>7447</v>
      </c>
      <c r="D42" s="21">
        <v>7447</v>
      </c>
      <c r="E42" s="28">
        <v>-23</v>
      </c>
      <c r="F42" s="27">
        <v>0</v>
      </c>
      <c r="G42" s="21">
        <v>0</v>
      </c>
      <c r="H42" s="27">
        <v>0</v>
      </c>
      <c r="I42" s="29">
        <v>0</v>
      </c>
      <c r="J42" s="30">
        <v>0</v>
      </c>
      <c r="K42" s="38">
        <f>SUM(D42:J42)</f>
        <v>7424</v>
      </c>
    </row>
    <row r="43" spans="1:11" s="34" customFormat="1">
      <c r="A43" s="31"/>
      <c r="B43" s="36" t="s">
        <v>44</v>
      </c>
      <c r="C43" s="33">
        <f>SUM(C41:C42)</f>
        <v>7497</v>
      </c>
      <c r="D43" s="33">
        <f t="shared" ref="D43:K43" si="8">SUM(D41:D42)</f>
        <v>7497</v>
      </c>
      <c r="E43" s="33">
        <f t="shared" si="8"/>
        <v>-23</v>
      </c>
      <c r="F43" s="33">
        <f t="shared" si="8"/>
        <v>0</v>
      </c>
      <c r="G43" s="33">
        <f t="shared" si="8"/>
        <v>0</v>
      </c>
      <c r="H43" s="33">
        <f t="shared" si="8"/>
        <v>0</v>
      </c>
      <c r="I43" s="33">
        <f t="shared" si="8"/>
        <v>0</v>
      </c>
      <c r="J43" s="33">
        <f t="shared" si="8"/>
        <v>0</v>
      </c>
      <c r="K43" s="33">
        <f t="shared" si="8"/>
        <v>7474</v>
      </c>
    </row>
    <row r="44" spans="1:11">
      <c r="A44" s="22"/>
      <c r="B44" s="35"/>
      <c r="C44" s="27"/>
      <c r="D44" s="21"/>
      <c r="E44" s="28"/>
      <c r="F44" s="27"/>
      <c r="G44" s="28"/>
      <c r="H44" s="27"/>
      <c r="I44" s="29"/>
      <c r="J44" s="30"/>
      <c r="K44" s="21"/>
    </row>
    <row r="45" spans="1:11" ht="15">
      <c r="A45" s="22" t="s">
        <v>45</v>
      </c>
      <c r="B45" t="s">
        <v>12</v>
      </c>
      <c r="C45" s="27">
        <v>10149</v>
      </c>
      <c r="D45" s="21">
        <v>10149</v>
      </c>
      <c r="E45" s="28">
        <v>-31</v>
      </c>
      <c r="F45" s="27">
        <v>0</v>
      </c>
      <c r="G45" s="21">
        <v>0</v>
      </c>
      <c r="H45" s="27">
        <v>0</v>
      </c>
      <c r="I45" s="29">
        <v>0</v>
      </c>
      <c r="J45" s="30">
        <v>0</v>
      </c>
      <c r="K45" s="38">
        <f>SUM(D45:J45)</f>
        <v>10118</v>
      </c>
    </row>
    <row r="46" spans="1:11" s="34" customFormat="1">
      <c r="A46" s="31"/>
      <c r="B46" s="36" t="s">
        <v>46</v>
      </c>
      <c r="C46" s="33">
        <f>SUM(C45)</f>
        <v>10149</v>
      </c>
      <c r="D46" s="33">
        <f t="shared" ref="D46:K46" si="9">SUM(D45)</f>
        <v>10149</v>
      </c>
      <c r="E46" s="33">
        <f t="shared" si="9"/>
        <v>-31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10118</v>
      </c>
    </row>
    <row r="47" spans="1:11">
      <c r="A47" s="22"/>
      <c r="B47" s="35"/>
      <c r="C47" s="27"/>
      <c r="D47" s="21"/>
      <c r="E47" s="28"/>
      <c r="F47" s="27"/>
      <c r="G47" s="28"/>
      <c r="H47" s="27"/>
      <c r="I47" s="29"/>
      <c r="J47" s="30"/>
      <c r="K47" s="21"/>
    </row>
    <row r="48" spans="1:11" ht="15">
      <c r="A48" s="22" t="s">
        <v>47</v>
      </c>
      <c r="B48" t="s">
        <v>48</v>
      </c>
      <c r="C48" s="27">
        <v>1463</v>
      </c>
      <c r="D48" s="21">
        <v>1463</v>
      </c>
      <c r="E48" s="28">
        <v>-5</v>
      </c>
      <c r="F48" s="27">
        <v>0</v>
      </c>
      <c r="G48" s="21">
        <v>0</v>
      </c>
      <c r="H48" s="27">
        <v>0</v>
      </c>
      <c r="I48" s="29">
        <v>0</v>
      </c>
      <c r="J48" s="30">
        <v>0</v>
      </c>
      <c r="K48" s="38">
        <f>SUM(D48:J48)</f>
        <v>1458</v>
      </c>
    </row>
    <row r="49" spans="1:11" s="34" customFormat="1">
      <c r="A49" s="31"/>
      <c r="B49" s="36" t="s">
        <v>49</v>
      </c>
      <c r="C49" s="33">
        <f>SUM(C48)</f>
        <v>1463</v>
      </c>
      <c r="D49" s="33">
        <f>SUM(D48)</f>
        <v>1463</v>
      </c>
      <c r="E49" s="33">
        <v>-5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1458</v>
      </c>
    </row>
    <row r="50" spans="1:11">
      <c r="A50" s="22"/>
      <c r="B50" s="40"/>
      <c r="C50" s="27"/>
      <c r="D50" s="21"/>
      <c r="E50" s="28"/>
      <c r="F50" s="27"/>
      <c r="G50" s="28"/>
      <c r="H50" s="27"/>
      <c r="I50" s="29"/>
      <c r="J50" s="30"/>
      <c r="K50" s="21"/>
    </row>
    <row r="51" spans="1:11" ht="15">
      <c r="A51" s="22" t="s">
        <v>50</v>
      </c>
      <c r="B51" t="s">
        <v>12</v>
      </c>
      <c r="C51" s="27">
        <v>2012</v>
      </c>
      <c r="D51" s="21">
        <v>2012</v>
      </c>
      <c r="E51" s="28">
        <v>-6</v>
      </c>
      <c r="F51" s="27">
        <v>0</v>
      </c>
      <c r="G51" s="21">
        <v>0</v>
      </c>
      <c r="H51" s="27">
        <v>0</v>
      </c>
      <c r="I51" s="29">
        <v>0</v>
      </c>
      <c r="J51" s="30">
        <v>0</v>
      </c>
      <c r="K51" s="38">
        <f>SUM(D51:J51)</f>
        <v>2006</v>
      </c>
    </row>
    <row r="52" spans="1:11" s="34" customFormat="1">
      <c r="A52" s="31"/>
      <c r="B52" s="36" t="s">
        <v>51</v>
      </c>
      <c r="C52" s="33">
        <f>SUM(C51)</f>
        <v>2012</v>
      </c>
      <c r="D52" s="33">
        <f t="shared" ref="D52:K52" si="10">SUM(D51)</f>
        <v>2012</v>
      </c>
      <c r="E52" s="33">
        <f t="shared" si="10"/>
        <v>-6</v>
      </c>
      <c r="F52" s="33">
        <f t="shared" si="10"/>
        <v>0</v>
      </c>
      <c r="G52" s="33">
        <f t="shared" si="10"/>
        <v>0</v>
      </c>
      <c r="H52" s="33">
        <f t="shared" si="10"/>
        <v>0</v>
      </c>
      <c r="I52" s="33">
        <f t="shared" si="10"/>
        <v>0</v>
      </c>
      <c r="J52" s="33">
        <f t="shared" si="10"/>
        <v>0</v>
      </c>
      <c r="K52" s="33">
        <f t="shared" si="10"/>
        <v>2006</v>
      </c>
    </row>
    <row r="53" spans="1:11">
      <c r="A53" s="22"/>
      <c r="B53" s="35"/>
      <c r="C53" s="27"/>
      <c r="D53" s="21"/>
      <c r="E53" s="28"/>
      <c r="F53" s="27"/>
      <c r="G53" s="28"/>
      <c r="H53" s="27"/>
      <c r="I53" s="29"/>
      <c r="J53" s="30"/>
      <c r="K53" s="21"/>
    </row>
    <row r="54" spans="1:11" ht="15">
      <c r="A54" s="22" t="s">
        <v>52</v>
      </c>
      <c r="B54" t="s">
        <v>12</v>
      </c>
      <c r="C54" s="27">
        <v>8858</v>
      </c>
      <c r="D54" s="21">
        <v>8858</v>
      </c>
      <c r="E54" s="28">
        <v>-27</v>
      </c>
      <c r="F54" s="27">
        <v>0</v>
      </c>
      <c r="G54" s="21">
        <v>0</v>
      </c>
      <c r="H54" s="27">
        <v>0</v>
      </c>
      <c r="I54" s="29">
        <v>0</v>
      </c>
      <c r="J54" s="30">
        <v>0</v>
      </c>
      <c r="K54" s="38">
        <f>SUM(D54:J54)</f>
        <v>8831</v>
      </c>
    </row>
    <row r="55" spans="1:11" s="34" customFormat="1">
      <c r="A55" s="31"/>
      <c r="B55" s="36" t="s">
        <v>53</v>
      </c>
      <c r="C55" s="33">
        <f>SUM(C54)</f>
        <v>8858</v>
      </c>
      <c r="D55" s="33">
        <f t="shared" ref="D55:K55" si="11">SUM(D54)</f>
        <v>8858</v>
      </c>
      <c r="E55" s="33">
        <f t="shared" si="11"/>
        <v>-27</v>
      </c>
      <c r="F55" s="33">
        <f t="shared" si="11"/>
        <v>0</v>
      </c>
      <c r="G55" s="33">
        <f t="shared" si="11"/>
        <v>0</v>
      </c>
      <c r="H55" s="33">
        <f t="shared" si="11"/>
        <v>0</v>
      </c>
      <c r="I55" s="33">
        <f t="shared" si="11"/>
        <v>0</v>
      </c>
      <c r="J55" s="33">
        <f t="shared" si="11"/>
        <v>0</v>
      </c>
      <c r="K55" s="33">
        <f t="shared" si="11"/>
        <v>8831</v>
      </c>
    </row>
    <row r="56" spans="1:11" s="34" customFormat="1">
      <c r="A56" s="22"/>
      <c r="C56" s="42"/>
      <c r="D56" s="42"/>
      <c r="E56" s="42"/>
      <c r="F56" s="42"/>
      <c r="G56" s="42"/>
      <c r="H56" s="42"/>
      <c r="I56" s="43"/>
      <c r="J56" s="43"/>
      <c r="K56" s="42"/>
    </row>
    <row r="57" spans="1:11" s="34" customFormat="1">
      <c r="A57" s="22" t="s">
        <v>54</v>
      </c>
      <c r="B57" s="19" t="s">
        <v>12</v>
      </c>
      <c r="C57" s="27">
        <v>436</v>
      </c>
      <c r="D57" s="21">
        <v>436</v>
      </c>
      <c r="E57" s="28">
        <v>-1</v>
      </c>
      <c r="F57" s="27">
        <v>0</v>
      </c>
      <c r="G57" s="21">
        <v>0</v>
      </c>
      <c r="H57" s="27">
        <v>0</v>
      </c>
      <c r="I57" s="29">
        <v>0</v>
      </c>
      <c r="J57" s="30">
        <v>0</v>
      </c>
      <c r="K57" s="38">
        <f>SUM(D57:J57)</f>
        <v>435</v>
      </c>
    </row>
    <row r="58" spans="1:11" s="34" customFormat="1">
      <c r="A58" s="31"/>
      <c r="B58" s="36" t="s">
        <v>55</v>
      </c>
      <c r="C58" s="33">
        <v>436</v>
      </c>
      <c r="D58" s="33">
        <f>SUM(D57)</f>
        <v>436</v>
      </c>
      <c r="E58" s="33">
        <f t="shared" ref="E58:K58" si="12">SUM(E57)</f>
        <v>-1</v>
      </c>
      <c r="F58" s="33">
        <f t="shared" si="12"/>
        <v>0</v>
      </c>
      <c r="G58" s="33">
        <f t="shared" si="12"/>
        <v>0</v>
      </c>
      <c r="H58" s="33">
        <f t="shared" si="12"/>
        <v>0</v>
      </c>
      <c r="I58" s="33">
        <f t="shared" si="12"/>
        <v>0</v>
      </c>
      <c r="J58" s="33">
        <f t="shared" si="12"/>
        <v>0</v>
      </c>
      <c r="K58" s="33">
        <f t="shared" si="12"/>
        <v>435</v>
      </c>
    </row>
    <row r="59" spans="1:11" s="34" customFormat="1">
      <c r="A59" s="22"/>
      <c r="C59" s="42"/>
      <c r="D59" s="42"/>
      <c r="E59" s="42"/>
      <c r="F59" s="42"/>
      <c r="G59" s="42"/>
      <c r="H59" s="42"/>
      <c r="I59" s="43"/>
      <c r="J59" s="43"/>
      <c r="K59" s="42"/>
    </row>
    <row r="60" spans="1:11" s="34" customFormat="1" ht="15">
      <c r="A60" s="22" t="s">
        <v>56</v>
      </c>
      <c r="B60" s="37" t="s">
        <v>57</v>
      </c>
      <c r="C60" s="27">
        <v>420300</v>
      </c>
      <c r="D60" s="21">
        <v>420300</v>
      </c>
      <c r="E60" s="28">
        <v>-1296</v>
      </c>
      <c r="F60" s="27">
        <v>0</v>
      </c>
      <c r="G60" s="21">
        <v>0</v>
      </c>
      <c r="H60" s="27">
        <v>0</v>
      </c>
      <c r="I60" s="29">
        <v>0</v>
      </c>
      <c r="J60" s="30">
        <v>180</v>
      </c>
      <c r="K60" s="38">
        <f>SUM(D60:J60)</f>
        <v>419184</v>
      </c>
    </row>
    <row r="61" spans="1:11" s="34" customFormat="1" ht="15">
      <c r="A61" s="22"/>
      <c r="B61" s="37" t="s">
        <v>58</v>
      </c>
      <c r="C61" s="27">
        <v>168723</v>
      </c>
      <c r="D61" s="21">
        <v>226323</v>
      </c>
      <c r="E61" s="28">
        <v>-698</v>
      </c>
      <c r="F61" s="27">
        <v>0</v>
      </c>
      <c r="G61" s="21">
        <v>0</v>
      </c>
      <c r="H61" s="27">
        <v>0</v>
      </c>
      <c r="I61" s="29">
        <v>0</v>
      </c>
      <c r="J61" s="30">
        <v>0</v>
      </c>
      <c r="K61" s="38">
        <f>SUM(D61:J61)</f>
        <v>225625</v>
      </c>
    </row>
    <row r="62" spans="1:11" s="34" customFormat="1" ht="15">
      <c r="A62" s="22"/>
      <c r="B62" s="39" t="s">
        <v>59</v>
      </c>
      <c r="C62" s="27">
        <v>0</v>
      </c>
      <c r="D62" s="21">
        <v>0</v>
      </c>
      <c r="E62" s="28">
        <v>0</v>
      </c>
      <c r="F62" s="27">
        <v>0</v>
      </c>
      <c r="G62" s="21">
        <v>0</v>
      </c>
      <c r="H62" s="27">
        <v>0</v>
      </c>
      <c r="I62" s="29">
        <v>191081</v>
      </c>
      <c r="J62" s="30">
        <v>-180</v>
      </c>
      <c r="K62" s="38">
        <f>SUM(D62:J62)</f>
        <v>190901</v>
      </c>
    </row>
    <row r="63" spans="1:11" s="34" customFormat="1">
      <c r="A63" s="31"/>
      <c r="B63" s="36" t="s">
        <v>60</v>
      </c>
      <c r="C63" s="33">
        <f t="shared" ref="C63:K63" si="13">SUM(C60:C62)</f>
        <v>589023</v>
      </c>
      <c r="D63" s="33">
        <f t="shared" si="13"/>
        <v>646623</v>
      </c>
      <c r="E63" s="33">
        <f t="shared" si="13"/>
        <v>-1994</v>
      </c>
      <c r="F63" s="33">
        <f t="shared" si="13"/>
        <v>0</v>
      </c>
      <c r="G63" s="33">
        <f t="shared" si="13"/>
        <v>0</v>
      </c>
      <c r="H63" s="33">
        <f t="shared" si="13"/>
        <v>0</v>
      </c>
      <c r="I63" s="33">
        <f t="shared" si="13"/>
        <v>191081</v>
      </c>
      <c r="J63" s="33">
        <f t="shared" si="13"/>
        <v>0</v>
      </c>
      <c r="K63" s="33">
        <f t="shared" si="13"/>
        <v>835710</v>
      </c>
    </row>
    <row r="64" spans="1:11" s="34" customFormat="1" ht="13.5" thickBot="1">
      <c r="A64" s="22"/>
      <c r="C64" s="42"/>
      <c r="D64" s="44"/>
      <c r="E64" s="42"/>
      <c r="F64" s="42"/>
      <c r="G64" s="45"/>
      <c r="H64" s="42"/>
      <c r="I64" s="46"/>
      <c r="J64" s="43"/>
      <c r="K64" s="44"/>
    </row>
    <row r="65" spans="1:12" s="51" customFormat="1" ht="13.5" thickBot="1">
      <c r="A65" s="47"/>
      <c r="B65" s="48" t="s">
        <v>61</v>
      </c>
      <c r="C65" s="49">
        <f>SUM(C10+C14+C27+C30+C33+C36+C39+C43+C46+C49+C52+C55+C58+C63)</f>
        <v>1192753</v>
      </c>
      <c r="D65" s="49">
        <f t="shared" ref="D65:K65" si="14">SUM(D10+D14+D27+D30+D33+D36+D39+D43+D46+D49+D52+D55+D58+D63)</f>
        <v>1244518</v>
      </c>
      <c r="E65" s="49">
        <f t="shared" si="14"/>
        <v>-3837</v>
      </c>
      <c r="F65" s="49">
        <f t="shared" si="14"/>
        <v>0</v>
      </c>
      <c r="G65" s="49">
        <f t="shared" si="14"/>
        <v>31535</v>
      </c>
      <c r="H65" s="49">
        <f t="shared" si="14"/>
        <v>0</v>
      </c>
      <c r="I65" s="50">
        <f t="shared" si="14"/>
        <v>167907</v>
      </c>
      <c r="J65" s="49">
        <f t="shared" si="14"/>
        <v>0</v>
      </c>
      <c r="K65" s="49">
        <f t="shared" si="14"/>
        <v>1440123</v>
      </c>
    </row>
    <row r="66" spans="1:12">
      <c r="A66" s="52"/>
      <c r="B66" s="53"/>
      <c r="C66" s="27"/>
      <c r="D66" s="21"/>
      <c r="E66" s="28"/>
      <c r="F66" s="27"/>
      <c r="G66" s="28"/>
      <c r="H66" s="27"/>
      <c r="I66" s="29"/>
      <c r="J66" s="30"/>
      <c r="K66" s="21"/>
    </row>
    <row r="67" spans="1:12" ht="15">
      <c r="A67" s="22" t="s">
        <v>62</v>
      </c>
      <c r="B67" s="37" t="s">
        <v>63</v>
      </c>
      <c r="C67" s="27">
        <v>101936</v>
      </c>
      <c r="D67" s="21">
        <v>90936</v>
      </c>
      <c r="E67" s="28">
        <v>-280</v>
      </c>
      <c r="F67" s="27">
        <v>0</v>
      </c>
      <c r="G67" s="21">
        <v>0</v>
      </c>
      <c r="H67" s="27">
        <v>0</v>
      </c>
      <c r="I67" s="29">
        <v>493</v>
      </c>
      <c r="J67" s="30">
        <f>2271+256+4265</f>
        <v>6792</v>
      </c>
      <c r="K67" s="38">
        <f>SUM(D67:J67)</f>
        <v>97941</v>
      </c>
      <c r="L67" s="6"/>
    </row>
    <row r="68" spans="1:12" ht="15">
      <c r="A68" s="22"/>
      <c r="B68" s="37" t="s">
        <v>64</v>
      </c>
      <c r="C68" s="27">
        <v>22958</v>
      </c>
      <c r="D68" s="21">
        <v>28858</v>
      </c>
      <c r="E68" s="28">
        <v>-89</v>
      </c>
      <c r="F68" s="27">
        <v>0</v>
      </c>
      <c r="G68" s="21">
        <v>28500</v>
      </c>
      <c r="H68" s="27">
        <v>0</v>
      </c>
      <c r="I68" s="29">
        <v>0</v>
      </c>
      <c r="J68" s="30">
        <f>-2527-1400</f>
        <v>-3927</v>
      </c>
      <c r="K68" s="38">
        <f t="shared" ref="K68:K103" si="15">SUM(D68:J68)</f>
        <v>53342</v>
      </c>
      <c r="L68" s="6"/>
    </row>
    <row r="69" spans="1:12" ht="15">
      <c r="A69" s="22"/>
      <c r="B69" s="37" t="s">
        <v>65</v>
      </c>
      <c r="C69" s="27">
        <v>146820</v>
      </c>
      <c r="D69" s="21">
        <v>146820</v>
      </c>
      <c r="E69" s="28">
        <v>-453</v>
      </c>
      <c r="F69" s="27">
        <v>0</v>
      </c>
      <c r="G69" s="21">
        <v>4600</v>
      </c>
      <c r="H69" s="27">
        <v>0</v>
      </c>
      <c r="I69" s="29">
        <v>-23348</v>
      </c>
      <c r="J69" s="30">
        <f>-797</f>
        <v>-797</v>
      </c>
      <c r="K69" s="38">
        <f t="shared" si="15"/>
        <v>126822</v>
      </c>
      <c r="L69" s="6"/>
    </row>
    <row r="70" spans="1:12" ht="15">
      <c r="A70" s="22"/>
      <c r="B70" s="37" t="s">
        <v>66</v>
      </c>
      <c r="C70" s="27">
        <v>227552</v>
      </c>
      <c r="D70" s="21">
        <v>177552</v>
      </c>
      <c r="E70" s="28">
        <v>-548</v>
      </c>
      <c r="F70" s="27">
        <v>0</v>
      </c>
      <c r="G70" s="21">
        <v>0</v>
      </c>
      <c r="H70" s="27">
        <v>0</v>
      </c>
      <c r="I70" s="29">
        <v>0</v>
      </c>
      <c r="J70" s="30">
        <v>-500</v>
      </c>
      <c r="K70" s="38">
        <f t="shared" si="15"/>
        <v>176504</v>
      </c>
      <c r="L70" s="6"/>
    </row>
    <row r="71" spans="1:12" ht="15">
      <c r="A71" s="22"/>
      <c r="B71" s="37" t="s">
        <v>67</v>
      </c>
      <c r="C71" s="27">
        <v>34200</v>
      </c>
      <c r="D71" s="21">
        <v>34200</v>
      </c>
      <c r="E71" s="28">
        <v>-105</v>
      </c>
      <c r="F71" s="27">
        <v>0</v>
      </c>
      <c r="G71" s="21">
        <v>0</v>
      </c>
      <c r="H71" s="27">
        <v>0</v>
      </c>
      <c r="I71" s="29">
        <v>0</v>
      </c>
      <c r="J71" s="30">
        <f>2300-2924-4400-54-1740</f>
        <v>-6818</v>
      </c>
      <c r="K71" s="38">
        <f t="shared" si="15"/>
        <v>27277</v>
      </c>
      <c r="L71" s="6"/>
    </row>
    <row r="72" spans="1:12" ht="15">
      <c r="A72" s="22"/>
      <c r="B72" s="37" t="s">
        <v>68</v>
      </c>
      <c r="C72" s="27">
        <v>2518</v>
      </c>
      <c r="D72" s="21">
        <v>2518</v>
      </c>
      <c r="E72" s="28">
        <v>-8</v>
      </c>
      <c r="F72" s="27">
        <v>0</v>
      </c>
      <c r="G72" s="21">
        <v>3000</v>
      </c>
      <c r="H72" s="27">
        <v>0</v>
      </c>
      <c r="I72" s="29">
        <v>0</v>
      </c>
      <c r="J72" s="30">
        <v>0</v>
      </c>
      <c r="K72" s="38">
        <f t="shared" si="15"/>
        <v>5510</v>
      </c>
      <c r="L72" s="6"/>
    </row>
    <row r="73" spans="1:12" ht="15">
      <c r="A73" s="22"/>
      <c r="B73" s="37" t="s">
        <v>69</v>
      </c>
      <c r="C73" s="27">
        <v>114553</v>
      </c>
      <c r="D73" s="21">
        <v>114553</v>
      </c>
      <c r="E73" s="28">
        <v>-353</v>
      </c>
      <c r="F73" s="27">
        <v>0</v>
      </c>
      <c r="G73" s="21">
        <v>0</v>
      </c>
      <c r="H73" s="27">
        <v>0</v>
      </c>
      <c r="I73" s="29">
        <v>0</v>
      </c>
      <c r="J73" s="30">
        <f>4137-2955-1840</f>
        <v>-658</v>
      </c>
      <c r="K73" s="38">
        <f t="shared" si="15"/>
        <v>113542</v>
      </c>
      <c r="L73" s="6"/>
    </row>
    <row r="74" spans="1:12" ht="15">
      <c r="A74" s="22"/>
      <c r="B74" s="39" t="s">
        <v>70</v>
      </c>
      <c r="C74" s="27">
        <v>10930</v>
      </c>
      <c r="D74" s="21">
        <v>10930</v>
      </c>
      <c r="E74" s="28">
        <v>-34</v>
      </c>
      <c r="F74" s="27">
        <v>0</v>
      </c>
      <c r="G74" s="21">
        <v>0</v>
      </c>
      <c r="H74" s="27">
        <v>0</v>
      </c>
      <c r="I74" s="29">
        <v>-2000</v>
      </c>
      <c r="J74" s="30">
        <v>0</v>
      </c>
      <c r="K74" s="38">
        <f t="shared" si="15"/>
        <v>8896</v>
      </c>
      <c r="L74" s="6"/>
    </row>
    <row r="75" spans="1:12" ht="15">
      <c r="A75" s="22"/>
      <c r="B75" s="39" t="s">
        <v>71</v>
      </c>
      <c r="C75" s="27">
        <v>12671</v>
      </c>
      <c r="D75" s="21">
        <v>12671</v>
      </c>
      <c r="E75" s="28">
        <v>-39</v>
      </c>
      <c r="F75" s="27">
        <v>0</v>
      </c>
      <c r="G75" s="21">
        <v>0</v>
      </c>
      <c r="H75" s="27">
        <v>0</v>
      </c>
      <c r="I75" s="29">
        <v>0</v>
      </c>
      <c r="J75" s="30">
        <f>-2525</f>
        <v>-2525</v>
      </c>
      <c r="K75" s="38">
        <f t="shared" si="15"/>
        <v>10107</v>
      </c>
      <c r="L75" s="6"/>
    </row>
    <row r="76" spans="1:12" ht="15">
      <c r="A76" s="22"/>
      <c r="B76" s="39" t="s">
        <v>72</v>
      </c>
      <c r="C76" s="27">
        <v>12223</v>
      </c>
      <c r="D76" s="21">
        <v>12223</v>
      </c>
      <c r="E76" s="28">
        <v>-38</v>
      </c>
      <c r="F76" s="27">
        <v>0</v>
      </c>
      <c r="G76" s="21">
        <v>12000</v>
      </c>
      <c r="H76" s="27">
        <v>0</v>
      </c>
      <c r="I76" s="29">
        <v>-12000</v>
      </c>
      <c r="J76" s="30">
        <v>0</v>
      </c>
      <c r="K76" s="38">
        <f t="shared" si="15"/>
        <v>12185</v>
      </c>
      <c r="L76" s="6"/>
    </row>
    <row r="77" spans="1:12" ht="15">
      <c r="A77" s="22"/>
      <c r="B77" s="37" t="s">
        <v>73</v>
      </c>
      <c r="C77" s="27">
        <v>59950</v>
      </c>
      <c r="D77" s="21">
        <v>59650</v>
      </c>
      <c r="E77" s="28">
        <v>-184</v>
      </c>
      <c r="F77" s="27">
        <v>0</v>
      </c>
      <c r="G77" s="21">
        <v>19500</v>
      </c>
      <c r="H77" s="27">
        <v>0</v>
      </c>
      <c r="I77" s="29">
        <v>156566</v>
      </c>
      <c r="J77" s="30">
        <f>500+2267+4454-2226+1243</f>
        <v>6238</v>
      </c>
      <c r="K77" s="38">
        <f t="shared" si="15"/>
        <v>241770</v>
      </c>
      <c r="L77" s="6"/>
    </row>
    <row r="78" spans="1:12" ht="15">
      <c r="A78" s="22"/>
      <c r="B78" s="37" t="s">
        <v>74</v>
      </c>
      <c r="C78" s="27">
        <v>973</v>
      </c>
      <c r="D78" s="21">
        <v>973</v>
      </c>
      <c r="E78" s="28">
        <v>-3</v>
      </c>
      <c r="F78" s="27">
        <v>0</v>
      </c>
      <c r="G78" s="21">
        <v>0</v>
      </c>
      <c r="H78" s="27">
        <v>0</v>
      </c>
      <c r="I78" s="29">
        <v>0</v>
      </c>
      <c r="J78" s="30">
        <v>-193</v>
      </c>
      <c r="K78" s="38">
        <f t="shared" si="15"/>
        <v>777</v>
      </c>
      <c r="L78" s="6"/>
    </row>
    <row r="79" spans="1:12" ht="15">
      <c r="A79" s="22"/>
      <c r="B79" s="37" t="s">
        <v>75</v>
      </c>
      <c r="C79" s="27">
        <v>5236</v>
      </c>
      <c r="D79" s="21">
        <v>0</v>
      </c>
      <c r="E79" s="28">
        <v>0</v>
      </c>
      <c r="F79" s="27">
        <v>0</v>
      </c>
      <c r="G79" s="21">
        <v>0</v>
      </c>
      <c r="H79" s="27">
        <v>0</v>
      </c>
      <c r="I79" s="29">
        <v>0</v>
      </c>
      <c r="J79" s="30">
        <v>0</v>
      </c>
      <c r="K79" s="38">
        <f t="shared" si="15"/>
        <v>0</v>
      </c>
      <c r="L79" s="6"/>
    </row>
    <row r="80" spans="1:12" ht="15">
      <c r="A80" s="22"/>
      <c r="B80" s="37" t="s">
        <v>76</v>
      </c>
      <c r="C80" s="27">
        <v>1463</v>
      </c>
      <c r="D80" s="21">
        <v>1463</v>
      </c>
      <c r="E80" s="28">
        <v>-5</v>
      </c>
      <c r="F80" s="27">
        <v>0</v>
      </c>
      <c r="G80" s="21">
        <v>0</v>
      </c>
      <c r="H80" s="27">
        <v>0</v>
      </c>
      <c r="I80" s="29">
        <v>1000</v>
      </c>
      <c r="J80" s="30">
        <v>0</v>
      </c>
      <c r="K80" s="38">
        <f t="shared" si="15"/>
        <v>2458</v>
      </c>
      <c r="L80" s="6"/>
    </row>
    <row r="81" spans="1:12" ht="15">
      <c r="A81" s="22"/>
      <c r="B81" s="37" t="s">
        <v>77</v>
      </c>
      <c r="C81" s="27">
        <v>61360</v>
      </c>
      <c r="D81" s="21">
        <v>61360</v>
      </c>
      <c r="E81" s="28">
        <v>-189</v>
      </c>
      <c r="F81" s="27">
        <v>0</v>
      </c>
      <c r="G81" s="21">
        <v>47856</v>
      </c>
      <c r="H81" s="27">
        <v>0</v>
      </c>
      <c r="I81" s="29">
        <v>0</v>
      </c>
      <c r="J81" s="30">
        <v>-3473</v>
      </c>
      <c r="K81" s="38">
        <f t="shared" si="15"/>
        <v>105554</v>
      </c>
      <c r="L81" s="6"/>
    </row>
    <row r="82" spans="1:12" ht="15">
      <c r="A82" s="22"/>
      <c r="B82" s="37" t="s">
        <v>78</v>
      </c>
      <c r="C82" s="27">
        <v>26791</v>
      </c>
      <c r="D82" s="21">
        <v>26791</v>
      </c>
      <c r="E82" s="28">
        <v>-83</v>
      </c>
      <c r="F82" s="27">
        <v>0</v>
      </c>
      <c r="G82" s="21">
        <v>17560</v>
      </c>
      <c r="H82" s="27">
        <v>0</v>
      </c>
      <c r="I82" s="29">
        <v>0</v>
      </c>
      <c r="J82" s="30">
        <f>-8853+1968</f>
        <v>-6885</v>
      </c>
      <c r="K82" s="38">
        <f t="shared" si="15"/>
        <v>37383</v>
      </c>
      <c r="L82" s="6"/>
    </row>
    <row r="83" spans="1:12" ht="15">
      <c r="A83" s="22"/>
      <c r="B83" s="37" t="s">
        <v>79</v>
      </c>
      <c r="C83" s="27">
        <v>55080</v>
      </c>
      <c r="D83" s="21">
        <v>55080</v>
      </c>
      <c r="E83" s="28">
        <v>-170</v>
      </c>
      <c r="F83" s="27">
        <v>0</v>
      </c>
      <c r="G83" s="21">
        <v>2000</v>
      </c>
      <c r="H83" s="27">
        <v>0</v>
      </c>
      <c r="I83" s="29">
        <v>58</v>
      </c>
      <c r="J83" s="30">
        <f>2300-646+813</f>
        <v>2467</v>
      </c>
      <c r="K83" s="38">
        <f t="shared" si="15"/>
        <v>59435</v>
      </c>
      <c r="L83" s="6"/>
    </row>
    <row r="84" spans="1:12" ht="15">
      <c r="A84" s="22"/>
      <c r="B84" s="37" t="s">
        <v>80</v>
      </c>
      <c r="C84" s="27">
        <v>72811</v>
      </c>
      <c r="D84" s="21">
        <v>72811</v>
      </c>
      <c r="E84" s="28">
        <v>-225</v>
      </c>
      <c r="F84" s="27">
        <v>0</v>
      </c>
      <c r="G84" s="21">
        <f>23260+3647</f>
        <v>26907</v>
      </c>
      <c r="H84" s="27">
        <v>0</v>
      </c>
      <c r="I84" s="29">
        <f>6910+15050</f>
        <v>21960</v>
      </c>
      <c r="J84" s="30">
        <f>0+2213+425+17152</f>
        <v>19790</v>
      </c>
      <c r="K84" s="38">
        <f t="shared" si="15"/>
        <v>141243</v>
      </c>
      <c r="L84" s="6"/>
    </row>
    <row r="85" spans="1:12" ht="15">
      <c r="A85" s="22"/>
      <c r="B85" s="37" t="s">
        <v>81</v>
      </c>
      <c r="C85" s="27">
        <v>35235</v>
      </c>
      <c r="D85" s="21">
        <v>41635</v>
      </c>
      <c r="E85" s="28">
        <v>-128</v>
      </c>
      <c r="F85" s="27">
        <v>0</v>
      </c>
      <c r="G85" s="21">
        <f>3800+234</f>
        <v>4034</v>
      </c>
      <c r="H85" s="27">
        <v>0</v>
      </c>
      <c r="I85" s="29">
        <v>0</v>
      </c>
      <c r="J85" s="30">
        <f>-2405-1044+512+700</f>
        <v>-2237</v>
      </c>
      <c r="K85" s="38">
        <f t="shared" si="15"/>
        <v>43304</v>
      </c>
      <c r="L85" s="6"/>
    </row>
    <row r="86" spans="1:12" ht="15">
      <c r="A86" s="22"/>
      <c r="B86" s="37" t="s">
        <v>82</v>
      </c>
      <c r="C86" s="27">
        <v>791</v>
      </c>
      <c r="D86" s="21">
        <v>791</v>
      </c>
      <c r="E86" s="28">
        <v>-2</v>
      </c>
      <c r="F86" s="27">
        <v>0</v>
      </c>
      <c r="G86" s="21">
        <v>0</v>
      </c>
      <c r="H86" s="27">
        <v>-716</v>
      </c>
      <c r="I86" s="29">
        <v>0</v>
      </c>
      <c r="J86" s="30">
        <v>0</v>
      </c>
      <c r="K86" s="38">
        <f t="shared" si="15"/>
        <v>73</v>
      </c>
      <c r="L86" s="6"/>
    </row>
    <row r="87" spans="1:12" ht="15">
      <c r="A87" s="22"/>
      <c r="B87" s="37" t="s">
        <v>83</v>
      </c>
      <c r="C87" s="27">
        <v>6156</v>
      </c>
      <c r="D87" s="21">
        <v>11156</v>
      </c>
      <c r="E87" s="28">
        <v>-34</v>
      </c>
      <c r="F87" s="27">
        <v>0</v>
      </c>
      <c r="G87" s="21">
        <v>0</v>
      </c>
      <c r="H87" s="27">
        <v>0</v>
      </c>
      <c r="I87" s="29">
        <v>1366</v>
      </c>
      <c r="J87" s="30">
        <v>0</v>
      </c>
      <c r="K87" s="38">
        <f t="shared" si="15"/>
        <v>12488</v>
      </c>
      <c r="L87" s="6"/>
    </row>
    <row r="88" spans="1:12" ht="15">
      <c r="A88" s="22"/>
      <c r="B88" s="37" t="s">
        <v>84</v>
      </c>
      <c r="C88" s="27">
        <v>2010</v>
      </c>
      <c r="D88" s="21">
        <v>2010</v>
      </c>
      <c r="E88" s="28">
        <v>-6</v>
      </c>
      <c r="F88" s="27">
        <v>0</v>
      </c>
      <c r="G88" s="21">
        <v>0</v>
      </c>
      <c r="H88" s="27">
        <v>0</v>
      </c>
      <c r="I88" s="29">
        <v>0</v>
      </c>
      <c r="J88" s="30">
        <v>-400</v>
      </c>
      <c r="K88" s="38">
        <f t="shared" si="15"/>
        <v>1604</v>
      </c>
      <c r="L88" s="6"/>
    </row>
    <row r="89" spans="1:12" ht="15">
      <c r="A89" s="22"/>
      <c r="B89" s="37" t="s">
        <v>85</v>
      </c>
      <c r="C89" s="27">
        <v>18821</v>
      </c>
      <c r="D89" s="21">
        <v>19421</v>
      </c>
      <c r="E89" s="28">
        <v>-60</v>
      </c>
      <c r="F89" s="27">
        <v>0</v>
      </c>
      <c r="G89" s="21">
        <f>6865+24853</f>
        <v>31718</v>
      </c>
      <c r="H89" s="27">
        <v>0</v>
      </c>
      <c r="I89" s="29">
        <f>67000+100000+140000</f>
        <v>307000</v>
      </c>
      <c r="J89" s="30">
        <f>8853+144437+3225-140000-20049-2598</f>
        <v>-6132</v>
      </c>
      <c r="K89" s="38">
        <f t="shared" si="15"/>
        <v>351947</v>
      </c>
      <c r="L89" s="6"/>
    </row>
    <row r="90" spans="1:12" ht="15">
      <c r="A90" s="22"/>
      <c r="B90" s="37" t="s">
        <v>86</v>
      </c>
      <c r="C90" s="27">
        <v>17265</v>
      </c>
      <c r="D90" s="21">
        <v>20865</v>
      </c>
      <c r="E90" s="28">
        <v>-64</v>
      </c>
      <c r="F90" s="27">
        <v>0</v>
      </c>
      <c r="G90" s="21">
        <v>0</v>
      </c>
      <c r="H90" s="27">
        <v>0</v>
      </c>
      <c r="I90" s="29">
        <v>0</v>
      </c>
      <c r="J90" s="30">
        <f>-200+200-159+1800</f>
        <v>1641</v>
      </c>
      <c r="K90" s="38">
        <f t="shared" si="15"/>
        <v>22442</v>
      </c>
      <c r="L90" s="6"/>
    </row>
    <row r="91" spans="1:12" ht="15">
      <c r="A91" s="22"/>
      <c r="B91" s="37" t="s">
        <v>87</v>
      </c>
      <c r="C91" s="27">
        <v>20000</v>
      </c>
      <c r="D91" s="21">
        <v>20000</v>
      </c>
      <c r="E91" s="28">
        <v>-62</v>
      </c>
      <c r="F91" s="27">
        <v>0</v>
      </c>
      <c r="G91" s="21">
        <v>0</v>
      </c>
      <c r="H91" s="27">
        <v>0</v>
      </c>
      <c r="I91" s="29">
        <v>3300</v>
      </c>
      <c r="J91" s="30">
        <f>3455</f>
        <v>3455</v>
      </c>
      <c r="K91" s="38">
        <f t="shared" si="15"/>
        <v>26693</v>
      </c>
      <c r="L91" s="6"/>
    </row>
    <row r="92" spans="1:12" ht="15">
      <c r="A92" s="22"/>
      <c r="B92" s="37" t="s">
        <v>88</v>
      </c>
      <c r="C92" s="27">
        <v>6835</v>
      </c>
      <c r="D92" s="21">
        <v>6835</v>
      </c>
      <c r="E92" s="28">
        <v>-21</v>
      </c>
      <c r="F92" s="27">
        <v>0</v>
      </c>
      <c r="G92" s="21">
        <v>0</v>
      </c>
      <c r="H92" s="27">
        <v>0</v>
      </c>
      <c r="I92" s="29">
        <v>0</v>
      </c>
      <c r="J92" s="30">
        <f>-363-225+110+328</f>
        <v>-150</v>
      </c>
      <c r="K92" s="38">
        <f t="shared" si="15"/>
        <v>6664</v>
      </c>
      <c r="L92" s="6"/>
    </row>
    <row r="93" spans="1:12" ht="15">
      <c r="A93" s="22"/>
      <c r="B93" s="37" t="s">
        <v>89</v>
      </c>
      <c r="C93" s="27">
        <v>60836</v>
      </c>
      <c r="D93" s="21">
        <v>55136</v>
      </c>
      <c r="E93" s="28">
        <v>-170</v>
      </c>
      <c r="F93" s="27">
        <v>0</v>
      </c>
      <c r="G93" s="21">
        <v>0</v>
      </c>
      <c r="H93" s="27">
        <v>0</v>
      </c>
      <c r="I93" s="29">
        <v>1350</v>
      </c>
      <c r="J93" s="30">
        <f>-6332+900-902</f>
        <v>-6334</v>
      </c>
      <c r="K93" s="38">
        <f t="shared" si="15"/>
        <v>49982</v>
      </c>
      <c r="L93" s="6"/>
    </row>
    <row r="94" spans="1:12" ht="15">
      <c r="A94" s="22"/>
      <c r="B94" s="39" t="s">
        <v>90</v>
      </c>
      <c r="C94" s="27">
        <v>12401</v>
      </c>
      <c r="D94" s="21">
        <v>12401</v>
      </c>
      <c r="E94" s="28">
        <v>-38</v>
      </c>
      <c r="F94" s="27">
        <v>0</v>
      </c>
      <c r="G94" s="21">
        <v>0</v>
      </c>
      <c r="H94" s="27">
        <v>0</v>
      </c>
      <c r="I94" s="29">
        <v>0</v>
      </c>
      <c r="J94" s="30">
        <v>-1850</v>
      </c>
      <c r="K94" s="38">
        <f t="shared" si="15"/>
        <v>10513</v>
      </c>
      <c r="L94" s="6"/>
    </row>
    <row r="95" spans="1:12" ht="15">
      <c r="A95" s="22"/>
      <c r="B95" s="39" t="s">
        <v>91</v>
      </c>
      <c r="C95" s="27">
        <v>26070</v>
      </c>
      <c r="D95" s="21">
        <v>26070</v>
      </c>
      <c r="E95" s="28">
        <v>-80</v>
      </c>
      <c r="F95" s="27">
        <v>0</v>
      </c>
      <c r="G95" s="21">
        <v>11000</v>
      </c>
      <c r="H95" s="27">
        <v>0</v>
      </c>
      <c r="I95" s="29">
        <v>0</v>
      </c>
      <c r="J95" s="30">
        <f>4999+1600+429+2378-1811</f>
        <v>7595</v>
      </c>
      <c r="K95" s="38">
        <f t="shared" si="15"/>
        <v>44585</v>
      </c>
      <c r="L95" s="6"/>
    </row>
    <row r="96" spans="1:12" ht="15">
      <c r="A96" s="22"/>
      <c r="B96" s="39" t="s">
        <v>92</v>
      </c>
      <c r="C96" s="27">
        <v>550</v>
      </c>
      <c r="D96" s="21">
        <v>550</v>
      </c>
      <c r="E96" s="28">
        <v>-2</v>
      </c>
      <c r="F96" s="27">
        <v>0</v>
      </c>
      <c r="G96" s="21">
        <v>0</v>
      </c>
      <c r="H96" s="27">
        <v>0</v>
      </c>
      <c r="I96" s="29">
        <v>0</v>
      </c>
      <c r="J96" s="30">
        <v>0</v>
      </c>
      <c r="K96" s="38">
        <f t="shared" si="15"/>
        <v>548</v>
      </c>
      <c r="L96" s="6"/>
    </row>
    <row r="97" spans="1:13" ht="15">
      <c r="A97" s="22"/>
      <c r="B97" s="39" t="s">
        <v>93</v>
      </c>
      <c r="C97" s="27">
        <v>33741</v>
      </c>
      <c r="D97" s="21">
        <v>39341</v>
      </c>
      <c r="E97" s="28">
        <v>-121</v>
      </c>
      <c r="F97" s="27">
        <v>0</v>
      </c>
      <c r="G97" s="21">
        <v>0</v>
      </c>
      <c r="H97" s="27">
        <v>0</v>
      </c>
      <c r="I97" s="29">
        <v>0</v>
      </c>
      <c r="J97" s="30">
        <f>-2388-1651+457+3172</f>
        <v>-410</v>
      </c>
      <c r="K97" s="38">
        <f t="shared" si="15"/>
        <v>38810</v>
      </c>
      <c r="L97" s="6"/>
    </row>
    <row r="98" spans="1:13" ht="15">
      <c r="A98" s="22"/>
      <c r="B98" s="39" t="s">
        <v>94</v>
      </c>
      <c r="C98" s="27">
        <v>53034</v>
      </c>
      <c r="D98" s="21">
        <v>57034</v>
      </c>
      <c r="E98" s="28">
        <v>-176</v>
      </c>
      <c r="F98" s="27">
        <v>0</v>
      </c>
      <c r="G98" s="21">
        <v>5448</v>
      </c>
      <c r="H98" s="27">
        <v>0</v>
      </c>
      <c r="I98" s="29">
        <v>2400</v>
      </c>
      <c r="J98" s="30">
        <f>-9999+3000-214-996</f>
        <v>-8209</v>
      </c>
      <c r="K98" s="38">
        <f t="shared" si="15"/>
        <v>56497</v>
      </c>
      <c r="L98" s="6"/>
    </row>
    <row r="99" spans="1:13" ht="15">
      <c r="A99" s="22"/>
      <c r="B99" s="39" t="s">
        <v>95</v>
      </c>
      <c r="C99" s="27">
        <v>2777</v>
      </c>
      <c r="D99" s="21">
        <v>2777</v>
      </c>
      <c r="E99" s="28">
        <v>-9</v>
      </c>
      <c r="F99" s="27">
        <v>0</v>
      </c>
      <c r="G99" s="21">
        <v>0</v>
      </c>
      <c r="H99" s="27">
        <v>0</v>
      </c>
      <c r="I99" s="29">
        <v>0</v>
      </c>
      <c r="J99" s="30">
        <v>0</v>
      </c>
      <c r="K99" s="38">
        <f t="shared" si="15"/>
        <v>2768</v>
      </c>
      <c r="L99" s="6"/>
    </row>
    <row r="100" spans="1:13" ht="15">
      <c r="A100" s="22"/>
      <c r="B100" s="39" t="s">
        <v>96</v>
      </c>
      <c r="C100" s="27">
        <v>7576</v>
      </c>
      <c r="D100" s="21">
        <v>9176</v>
      </c>
      <c r="E100" s="28">
        <v>-28</v>
      </c>
      <c r="F100" s="27">
        <v>0</v>
      </c>
      <c r="G100" s="21">
        <v>153</v>
      </c>
      <c r="H100" s="27">
        <v>0</v>
      </c>
      <c r="I100" s="29">
        <v>410</v>
      </c>
      <c r="J100" s="30">
        <f>-153-10+597</f>
        <v>434</v>
      </c>
      <c r="K100" s="38">
        <f t="shared" si="15"/>
        <v>10145</v>
      </c>
      <c r="L100" s="6"/>
    </row>
    <row r="101" spans="1:13" ht="15">
      <c r="A101" s="22"/>
      <c r="B101" s="39" t="s">
        <v>97</v>
      </c>
      <c r="C101" s="27">
        <v>273998</v>
      </c>
      <c r="D101" s="21">
        <v>286498</v>
      </c>
      <c r="E101" s="28">
        <v>-886</v>
      </c>
      <c r="F101" s="27">
        <v>0</v>
      </c>
      <c r="G101" s="21">
        <f>11900+260</f>
        <v>12160</v>
      </c>
      <c r="H101" s="27">
        <v>0</v>
      </c>
      <c r="I101" s="29">
        <f>429+13840</f>
        <v>14269</v>
      </c>
      <c r="J101" s="30">
        <f>4942+671+911+2345+2807</f>
        <v>11676</v>
      </c>
      <c r="K101" s="38">
        <f t="shared" si="15"/>
        <v>323717</v>
      </c>
      <c r="L101" s="6"/>
    </row>
    <row r="102" spans="1:13" ht="15">
      <c r="A102" s="22"/>
      <c r="B102" s="39" t="s">
        <v>98</v>
      </c>
      <c r="C102" s="27">
        <v>43081</v>
      </c>
      <c r="D102" s="21">
        <v>43081</v>
      </c>
      <c r="E102" s="28">
        <v>-133</v>
      </c>
      <c r="F102" s="27">
        <v>0</v>
      </c>
      <c r="G102" s="21">
        <v>0</v>
      </c>
      <c r="H102" s="27">
        <v>0</v>
      </c>
      <c r="I102" s="29">
        <v>0</v>
      </c>
      <c r="J102" s="30">
        <f>-8000-590</f>
        <v>-8590</v>
      </c>
      <c r="K102" s="38">
        <f t="shared" si="15"/>
        <v>34358</v>
      </c>
      <c r="L102" s="6"/>
    </row>
    <row r="103" spans="1:13" ht="13.5" thickBot="1">
      <c r="A103" s="22"/>
      <c r="B103" s="18" t="s">
        <v>99</v>
      </c>
      <c r="C103" s="27">
        <v>0</v>
      </c>
      <c r="D103" s="21">
        <v>0</v>
      </c>
      <c r="E103" s="28">
        <v>0</v>
      </c>
      <c r="F103" s="27">
        <v>0</v>
      </c>
      <c r="G103" s="21">
        <v>0</v>
      </c>
      <c r="H103" s="27">
        <v>0</v>
      </c>
      <c r="I103" s="29">
        <v>3080</v>
      </c>
      <c r="J103" s="30">
        <v>0</v>
      </c>
      <c r="K103" s="38">
        <f t="shared" si="15"/>
        <v>3080</v>
      </c>
      <c r="L103" s="6"/>
    </row>
    <row r="104" spans="1:13" s="34" customFormat="1" ht="13.5" thickBot="1">
      <c r="A104" s="54"/>
      <c r="B104" s="55" t="s">
        <v>100</v>
      </c>
      <c r="C104" s="50">
        <f>SUM(C67:C103)</f>
        <v>1591202</v>
      </c>
      <c r="D104" s="50">
        <f t="shared" ref="D104:K104" si="16">SUM(D67:D103)</f>
        <v>1564166</v>
      </c>
      <c r="E104" s="50">
        <f t="shared" si="16"/>
        <v>-4826</v>
      </c>
      <c r="F104" s="50">
        <f t="shared" si="16"/>
        <v>0</v>
      </c>
      <c r="G104" s="50">
        <f t="shared" si="16"/>
        <v>226436</v>
      </c>
      <c r="H104" s="50">
        <f t="shared" si="16"/>
        <v>-716</v>
      </c>
      <c r="I104" s="50">
        <f t="shared" si="16"/>
        <v>475904</v>
      </c>
      <c r="J104" s="50">
        <f t="shared" si="16"/>
        <v>0</v>
      </c>
      <c r="K104" s="50">
        <f t="shared" si="16"/>
        <v>2260964</v>
      </c>
      <c r="L104" s="6"/>
      <c r="M104" s="56"/>
    </row>
    <row r="105" spans="1:13">
      <c r="A105" s="57"/>
      <c r="B105" s="58"/>
      <c r="C105" s="27"/>
      <c r="D105" s="21"/>
      <c r="E105" s="28"/>
      <c r="F105" s="27"/>
      <c r="G105" s="28"/>
      <c r="H105" s="27"/>
      <c r="I105" s="29"/>
      <c r="J105" s="30"/>
      <c r="K105" s="21"/>
    </row>
    <row r="106" spans="1:13" ht="15">
      <c r="A106" s="57" t="s">
        <v>101</v>
      </c>
      <c r="B106" s="37" t="s">
        <v>102</v>
      </c>
      <c r="C106" s="27">
        <v>65590</v>
      </c>
      <c r="D106" s="21">
        <v>65590</v>
      </c>
      <c r="E106" s="28">
        <v>-202</v>
      </c>
      <c r="F106" s="27">
        <v>0</v>
      </c>
      <c r="G106" s="21">
        <v>0</v>
      </c>
      <c r="H106" s="27">
        <v>0</v>
      </c>
      <c r="I106" s="29">
        <v>0</v>
      </c>
      <c r="J106" s="30">
        <v>1300</v>
      </c>
      <c r="K106" s="21">
        <f t="shared" ref="K106:K111" si="17">SUM(D106:J106)</f>
        <v>66688</v>
      </c>
    </row>
    <row r="107" spans="1:13" ht="15">
      <c r="A107" s="57"/>
      <c r="B107" s="37" t="s">
        <v>103</v>
      </c>
      <c r="C107" s="27">
        <v>92004</v>
      </c>
      <c r="D107" s="21">
        <v>92004</v>
      </c>
      <c r="E107" s="28">
        <v>-284</v>
      </c>
      <c r="F107" s="27">
        <v>0</v>
      </c>
      <c r="G107" s="21">
        <v>0</v>
      </c>
      <c r="H107" s="27">
        <v>0</v>
      </c>
      <c r="I107" s="29">
        <v>0</v>
      </c>
      <c r="J107" s="30">
        <f>6000+4079</f>
        <v>10079</v>
      </c>
      <c r="K107" s="21">
        <f t="shared" si="17"/>
        <v>101799</v>
      </c>
    </row>
    <row r="108" spans="1:13" ht="15">
      <c r="A108" s="57"/>
      <c r="B108" s="37" t="s">
        <v>104</v>
      </c>
      <c r="C108" s="27">
        <v>22008</v>
      </c>
      <c r="D108" s="21">
        <v>26488</v>
      </c>
      <c r="E108" s="28">
        <v>-82</v>
      </c>
      <c r="F108" s="27">
        <v>0</v>
      </c>
      <c r="G108" s="21">
        <v>0</v>
      </c>
      <c r="H108" s="27">
        <v>0</v>
      </c>
      <c r="I108" s="29">
        <v>0</v>
      </c>
      <c r="J108" s="30">
        <v>2100</v>
      </c>
      <c r="K108" s="21">
        <f t="shared" si="17"/>
        <v>28506</v>
      </c>
    </row>
    <row r="109" spans="1:13" ht="15">
      <c r="A109" s="57"/>
      <c r="B109" s="37" t="s">
        <v>105</v>
      </c>
      <c r="C109" s="27">
        <v>12740</v>
      </c>
      <c r="D109" s="21">
        <v>12740</v>
      </c>
      <c r="E109" s="28">
        <v>-39</v>
      </c>
      <c r="F109" s="27">
        <v>0</v>
      </c>
      <c r="G109" s="21">
        <v>0</v>
      </c>
      <c r="H109" s="27">
        <v>0</v>
      </c>
      <c r="I109" s="29">
        <v>0</v>
      </c>
      <c r="J109" s="30">
        <v>0</v>
      </c>
      <c r="K109" s="21">
        <f t="shared" si="17"/>
        <v>12701</v>
      </c>
    </row>
    <row r="110" spans="1:13" ht="15">
      <c r="A110" s="57"/>
      <c r="B110" s="37" t="s">
        <v>106</v>
      </c>
      <c r="C110" s="27">
        <v>27938</v>
      </c>
      <c r="D110" s="21">
        <v>32938</v>
      </c>
      <c r="E110" s="28">
        <v>-102</v>
      </c>
      <c r="F110" s="27">
        <v>0</v>
      </c>
      <c r="G110" s="21">
        <v>0</v>
      </c>
      <c r="H110" s="27">
        <v>0</v>
      </c>
      <c r="I110" s="29">
        <v>0</v>
      </c>
      <c r="J110" s="30">
        <v>-1100</v>
      </c>
      <c r="K110" s="21">
        <f t="shared" si="17"/>
        <v>31736</v>
      </c>
    </row>
    <row r="111" spans="1:13" ht="15.75" thickBot="1">
      <c r="A111" s="57"/>
      <c r="B111" s="37" t="s">
        <v>107</v>
      </c>
      <c r="C111" s="27">
        <v>151765</v>
      </c>
      <c r="D111" s="21">
        <v>127115</v>
      </c>
      <c r="E111" s="28">
        <v>-392</v>
      </c>
      <c r="F111" s="27">
        <v>0</v>
      </c>
      <c r="G111" s="21">
        <v>0</v>
      </c>
      <c r="H111" s="27">
        <v>0</v>
      </c>
      <c r="I111" s="29">
        <v>0</v>
      </c>
      <c r="J111" s="30">
        <f>-9400-2979</f>
        <v>-12379</v>
      </c>
      <c r="K111" s="21">
        <f t="shared" si="17"/>
        <v>114344</v>
      </c>
    </row>
    <row r="112" spans="1:13" s="34" customFormat="1" ht="13.5" thickBot="1">
      <c r="A112" s="54"/>
      <c r="B112" s="55" t="s">
        <v>108</v>
      </c>
      <c r="C112" s="50">
        <f>SUM(C106:C111)</f>
        <v>372045</v>
      </c>
      <c r="D112" s="50">
        <v>356875</v>
      </c>
      <c r="E112" s="50">
        <v>-1101</v>
      </c>
      <c r="F112" s="50">
        <v>0</v>
      </c>
      <c r="G112" s="50">
        <v>0</v>
      </c>
      <c r="H112" s="50">
        <v>0</v>
      </c>
      <c r="I112" s="50">
        <v>0</v>
      </c>
      <c r="J112" s="50">
        <f>SUM(J106:J111)</f>
        <v>0</v>
      </c>
      <c r="K112" s="50">
        <v>355774</v>
      </c>
    </row>
    <row r="113" spans="1:11" ht="13.5" thickBot="1">
      <c r="A113" s="59"/>
      <c r="B113" s="60"/>
      <c r="C113" s="27"/>
      <c r="D113" s="16"/>
      <c r="E113" s="18"/>
      <c r="F113" s="24"/>
      <c r="G113" s="18"/>
      <c r="H113" s="24"/>
      <c r="I113" s="19"/>
      <c r="J113" s="25"/>
      <c r="K113" s="21"/>
    </row>
    <row r="114" spans="1:11" s="65" customFormat="1" ht="13.5" thickBot="1">
      <c r="A114" s="61" t="s">
        <v>109</v>
      </c>
      <c r="B114" s="62" t="s">
        <v>110</v>
      </c>
      <c r="C114" s="50">
        <v>828352</v>
      </c>
      <c r="D114" s="50">
        <v>884978</v>
      </c>
      <c r="E114" s="63">
        <v>-2729</v>
      </c>
      <c r="F114" s="50">
        <v>0</v>
      </c>
      <c r="G114" s="63">
        <f>307680+105029</f>
        <v>412709</v>
      </c>
      <c r="H114" s="50">
        <v>0</v>
      </c>
      <c r="I114" s="63">
        <f>22500+82221-11600+2800+6400+13800</f>
        <v>116121</v>
      </c>
      <c r="J114" s="50">
        <v>0</v>
      </c>
      <c r="K114" s="64">
        <f>SUM(D114:J114)</f>
        <v>1411079</v>
      </c>
    </row>
    <row r="115" spans="1:11" s="69" customFormat="1" ht="13.5" thickBot="1">
      <c r="A115" s="66"/>
      <c r="B115" s="67"/>
      <c r="C115" s="30"/>
      <c r="D115" s="38"/>
      <c r="E115" s="29"/>
      <c r="F115" s="30"/>
      <c r="G115" s="29"/>
      <c r="H115" s="30"/>
      <c r="I115" s="29"/>
      <c r="J115" s="30"/>
      <c r="K115" s="68"/>
    </row>
    <row r="116" spans="1:11" s="56" customFormat="1" ht="13.5" thickBot="1">
      <c r="A116" s="70" t="s">
        <v>111</v>
      </c>
      <c r="B116" s="71" t="s">
        <v>112</v>
      </c>
      <c r="C116" s="50">
        <f>SUM(C65+C104+C112+C114)</f>
        <v>3984352</v>
      </c>
      <c r="D116" s="50">
        <f t="shared" ref="D116:J116" si="18">SUM(D65+D104+D112+D114)</f>
        <v>4050537</v>
      </c>
      <c r="E116" s="50">
        <f t="shared" si="18"/>
        <v>-12493</v>
      </c>
      <c r="F116" s="50">
        <f t="shared" si="18"/>
        <v>0</v>
      </c>
      <c r="G116" s="50">
        <f t="shared" si="18"/>
        <v>670680</v>
      </c>
      <c r="H116" s="50">
        <f t="shared" si="18"/>
        <v>-716</v>
      </c>
      <c r="I116" s="50">
        <f t="shared" si="18"/>
        <v>759932</v>
      </c>
      <c r="J116" s="50">
        <f t="shared" si="18"/>
        <v>0</v>
      </c>
      <c r="K116" s="50">
        <f>SUM(K65+K104+K112+K114)-1</f>
        <v>5467939</v>
      </c>
    </row>
    <row r="117" spans="1:11" s="18" customFormat="1">
      <c r="A117" s="72"/>
      <c r="I117" s="19"/>
      <c r="J117" s="19"/>
      <c r="K117" s="28"/>
    </row>
    <row r="118" spans="1:11" s="18" customFormat="1">
      <c r="A118" s="72"/>
      <c r="I118" s="19"/>
      <c r="J118" s="19"/>
      <c r="K118" s="28"/>
    </row>
    <row r="119" spans="1:11" s="18" customFormat="1">
      <c r="A119" s="72"/>
      <c r="I119" s="19"/>
      <c r="J119" s="19"/>
      <c r="K119" s="28"/>
    </row>
    <row r="120" spans="1:11" s="18" customFormat="1">
      <c r="A120" s="72"/>
      <c r="I120" s="19"/>
      <c r="J120" s="19"/>
      <c r="K120" s="28"/>
    </row>
    <row r="121" spans="1:11" s="18" customFormat="1">
      <c r="A121" s="72"/>
      <c r="I121" s="19"/>
      <c r="J121" s="19"/>
      <c r="K121" s="28"/>
    </row>
    <row r="122" spans="1:11" s="18" customFormat="1">
      <c r="A122" s="72"/>
      <c r="I122" s="19"/>
      <c r="J122" s="19"/>
      <c r="K122" s="28"/>
    </row>
    <row r="123" spans="1:11" s="18" customFormat="1">
      <c r="A123" s="72"/>
      <c r="I123" s="19"/>
      <c r="J123" s="19"/>
      <c r="K123" s="28"/>
    </row>
    <row r="124" spans="1:11" s="18" customFormat="1">
      <c r="A124" s="72"/>
      <c r="I124" s="19"/>
      <c r="J124" s="19"/>
      <c r="K124" s="28"/>
    </row>
    <row r="125" spans="1:11" s="18" customFormat="1">
      <c r="A125" s="72"/>
      <c r="I125" s="19"/>
      <c r="J125" s="19"/>
      <c r="K125" s="28"/>
    </row>
    <row r="126" spans="1:11" s="18" customFormat="1">
      <c r="A126" s="72"/>
      <c r="I126" s="19"/>
      <c r="J126" s="19"/>
      <c r="K126" s="28"/>
    </row>
    <row r="127" spans="1:11" s="18" customFormat="1">
      <c r="A127" s="72"/>
      <c r="I127" s="19"/>
      <c r="J127" s="19"/>
      <c r="K127" s="28"/>
    </row>
    <row r="128" spans="1:11" s="18" customFormat="1">
      <c r="A128" s="72"/>
      <c r="I128" s="19"/>
      <c r="J128" s="19"/>
      <c r="K128" s="28"/>
    </row>
    <row r="129" spans="1:11" s="18" customFormat="1">
      <c r="A129" s="72"/>
      <c r="I129" s="19"/>
      <c r="J129" s="19"/>
      <c r="K129" s="2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 1416 0300D-03-31-12 To OMB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2012-04-30T13:28:38Z</dcterms:modified>
</cp:coreProperties>
</file>