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375" windowHeight="7935"/>
  </bookViews>
  <sheets>
    <sheet name="DD 1416 As of 31 Dec 11-To OMB" sheetId="28" r:id="rId1"/>
  </sheets>
  <definedNames>
    <definedName name="_xlnm.Print_Titles" localSheetId="0">'DD 1416 As of 31 Dec 11-To OMB'!$5:$5</definedName>
  </definedNames>
  <calcPr calcId="125725" fullCalcOnLoad="1"/>
</workbook>
</file>

<file path=xl/calcChain.xml><?xml version="1.0" encoding="utf-8"?>
<calcChain xmlns="http://schemas.openxmlformats.org/spreadsheetml/2006/main">
  <c r="J90" i="28"/>
  <c r="J101"/>
  <c r="J100"/>
  <c r="J98"/>
  <c r="J97"/>
  <c r="J95"/>
  <c r="J93"/>
  <c r="J92"/>
  <c r="J91"/>
  <c r="J89"/>
  <c r="J85"/>
  <c r="J84"/>
  <c r="J83"/>
  <c r="J77"/>
  <c r="J75"/>
  <c r="J71"/>
  <c r="J69"/>
  <c r="J68"/>
  <c r="J67"/>
  <c r="J22"/>
  <c r="J20"/>
  <c r="J19"/>
  <c r="J17"/>
  <c r="J111"/>
  <c r="J107"/>
  <c r="I114"/>
  <c r="G114"/>
  <c r="K114"/>
  <c r="J112"/>
  <c r="C112"/>
  <c r="K111"/>
  <c r="K110"/>
  <c r="K109"/>
  <c r="K108"/>
  <c r="K107"/>
  <c r="K106"/>
  <c r="H104"/>
  <c r="F104"/>
  <c r="E104"/>
  <c r="D104"/>
  <c r="C104"/>
  <c r="K103"/>
  <c r="J102"/>
  <c r="K102"/>
  <c r="I101"/>
  <c r="G101"/>
  <c r="K101"/>
  <c r="K100"/>
  <c r="K99"/>
  <c r="K98"/>
  <c r="K97"/>
  <c r="K96"/>
  <c r="K95"/>
  <c r="K94"/>
  <c r="K93"/>
  <c r="K92"/>
  <c r="K91"/>
  <c r="K90"/>
  <c r="I89"/>
  <c r="G89"/>
  <c r="K89"/>
  <c r="K88"/>
  <c r="K87"/>
  <c r="K86"/>
  <c r="G85"/>
  <c r="K85"/>
  <c r="I84"/>
  <c r="I104"/>
  <c r="G84"/>
  <c r="G104"/>
  <c r="K83"/>
  <c r="K82"/>
  <c r="J82"/>
  <c r="K81"/>
  <c r="K80"/>
  <c r="K79"/>
  <c r="K78"/>
  <c r="K77"/>
  <c r="K76"/>
  <c r="K75"/>
  <c r="K74"/>
  <c r="J73"/>
  <c r="K73"/>
  <c r="K72"/>
  <c r="K71"/>
  <c r="K70"/>
  <c r="K69"/>
  <c r="K68"/>
  <c r="J104"/>
  <c r="J63"/>
  <c r="I63"/>
  <c r="H63"/>
  <c r="G63"/>
  <c r="F63"/>
  <c r="E63"/>
  <c r="D63"/>
  <c r="C63"/>
  <c r="K62"/>
  <c r="K61"/>
  <c r="K60"/>
  <c r="K63"/>
  <c r="J58"/>
  <c r="I58"/>
  <c r="H58"/>
  <c r="G58"/>
  <c r="F58"/>
  <c r="E58"/>
  <c r="D58"/>
  <c r="K57"/>
  <c r="K58"/>
  <c r="J55"/>
  <c r="I55"/>
  <c r="H55"/>
  <c r="G55"/>
  <c r="F55"/>
  <c r="E55"/>
  <c r="D55"/>
  <c r="C55"/>
  <c r="K54"/>
  <c r="K55"/>
  <c r="J52"/>
  <c r="I52"/>
  <c r="H52"/>
  <c r="G52"/>
  <c r="F52"/>
  <c r="E52"/>
  <c r="D52"/>
  <c r="C52"/>
  <c r="K51"/>
  <c r="K52"/>
  <c r="D49"/>
  <c r="C49"/>
  <c r="K48"/>
  <c r="J46"/>
  <c r="I46"/>
  <c r="H46"/>
  <c r="G46"/>
  <c r="F46"/>
  <c r="E46"/>
  <c r="D46"/>
  <c r="C46"/>
  <c r="K45"/>
  <c r="K46"/>
  <c r="J43"/>
  <c r="I43"/>
  <c r="H43"/>
  <c r="G43"/>
  <c r="F43"/>
  <c r="E43"/>
  <c r="D43"/>
  <c r="C43"/>
  <c r="K42"/>
  <c r="K41"/>
  <c r="K43"/>
  <c r="J39"/>
  <c r="I39"/>
  <c r="H39"/>
  <c r="G39"/>
  <c r="F39"/>
  <c r="E39"/>
  <c r="D39"/>
  <c r="K38"/>
  <c r="K39"/>
  <c r="J36"/>
  <c r="I36"/>
  <c r="H36"/>
  <c r="G36"/>
  <c r="F36"/>
  <c r="E36"/>
  <c r="D36"/>
  <c r="C36"/>
  <c r="K35"/>
  <c r="K36"/>
  <c r="J33"/>
  <c r="I33"/>
  <c r="H33"/>
  <c r="G33"/>
  <c r="F33"/>
  <c r="E33"/>
  <c r="D33"/>
  <c r="C33"/>
  <c r="K32"/>
  <c r="K33"/>
  <c r="J30"/>
  <c r="I30"/>
  <c r="H30"/>
  <c r="G30"/>
  <c r="F30"/>
  <c r="E30"/>
  <c r="D30"/>
  <c r="C30"/>
  <c r="K29"/>
  <c r="K30"/>
  <c r="J27"/>
  <c r="H27"/>
  <c r="G27"/>
  <c r="F27"/>
  <c r="E27"/>
  <c r="D27"/>
  <c r="C27"/>
  <c r="K26"/>
  <c r="K25"/>
  <c r="I24"/>
  <c r="K24"/>
  <c r="K23"/>
  <c r="K22"/>
  <c r="K21"/>
  <c r="K20"/>
  <c r="K27"/>
  <c r="K19"/>
  <c r="K18"/>
  <c r="K17"/>
  <c r="K16"/>
  <c r="J14"/>
  <c r="I14"/>
  <c r="H14"/>
  <c r="G14"/>
  <c r="F14"/>
  <c r="E14"/>
  <c r="D14"/>
  <c r="C14"/>
  <c r="K13"/>
  <c r="K14"/>
  <c r="J10"/>
  <c r="J65"/>
  <c r="J116"/>
  <c r="I10"/>
  <c r="H10"/>
  <c r="H65"/>
  <c r="H116"/>
  <c r="F10"/>
  <c r="F65"/>
  <c r="F116"/>
  <c r="E10"/>
  <c r="E65"/>
  <c r="E116"/>
  <c r="D10"/>
  <c r="D65"/>
  <c r="D116"/>
  <c r="C10"/>
  <c r="C65"/>
  <c r="C116"/>
  <c r="K9"/>
  <c r="G9"/>
  <c r="K8"/>
  <c r="K10"/>
  <c r="G8"/>
  <c r="G10"/>
  <c r="G65"/>
  <c r="G116"/>
  <c r="I27"/>
  <c r="I65"/>
  <c r="I116"/>
  <c r="K84"/>
  <c r="K104"/>
  <c r="K67"/>
  <c r="K65"/>
  <c r="K116"/>
</calcChain>
</file>

<file path=xl/sharedStrings.xml><?xml version="1.0" encoding="utf-8"?>
<sst xmlns="http://schemas.openxmlformats.org/spreadsheetml/2006/main" count="120" uniqueCount="113">
  <si>
    <t>INFORMATION SYSTEMS SECURITY</t>
  </si>
  <si>
    <t>GLOBAL COMBAT SUPPORT SYSTEM</t>
  </si>
  <si>
    <t>TELEPORT PROGRAM</t>
  </si>
  <si>
    <t>ITEMS LESS THAN $5 MILLION</t>
  </si>
  <si>
    <t>NET CENTRIC ENTERPRISE SERVICES (NCES)</t>
  </si>
  <si>
    <t>MAJOR EQUIPMENT</t>
  </si>
  <si>
    <t>PERSONNEL ADMINISTRATION</t>
  </si>
  <si>
    <t>OTHER MAJOR EQUIPMENT</t>
  </si>
  <si>
    <t>ROTARY WING UPGRADES AND SUSTAINMENT</t>
  </si>
  <si>
    <t>MH-60 SOF MODERNIZATION PROGRAM</t>
  </si>
  <si>
    <t>CV-22 SOF MOD</t>
  </si>
  <si>
    <t>C-130 MODIFICATIONS</t>
  </si>
  <si>
    <t>AIRCRAFT SUPPORT</t>
  </si>
  <si>
    <t>ADVANCED SEAL DELIVERY SYSTEM (ASDS)</t>
  </si>
  <si>
    <t>MK8 MOD1 SEAL DELIVERY VEHICLE</t>
  </si>
  <si>
    <t>SOF INTELLIGENCE SYSTEMS</t>
  </si>
  <si>
    <t>SMALL ARMS AND WEAPONS</t>
  </si>
  <si>
    <t>MARITIME EQUIPMENT MODIFICATIONS</t>
  </si>
  <si>
    <t>SOF COMBATANT CRAFT SYSTEMS</t>
  </si>
  <si>
    <t>SPARES AND REPAIR PARTS</t>
  </si>
  <si>
    <t>TACTICAL VEHICLES</t>
  </si>
  <si>
    <t>MILCON COLLATERAL EQUIPMENT</t>
  </si>
  <si>
    <t>SOF MARITIME EQUIPMENT</t>
  </si>
  <si>
    <t>MISCELLANEOUS EQUIPMENT</t>
  </si>
  <si>
    <t>PSYOP EQUIPMENT</t>
  </si>
  <si>
    <t>INSTALLATION FORCE PROTECTION</t>
  </si>
  <si>
    <t>INDIVIDUAL PROTECTION</t>
  </si>
  <si>
    <t>DECONTAMINATION</t>
  </si>
  <si>
    <t>JOINT BIOLOGICAL DEFENSE PROGRAM</t>
  </si>
  <si>
    <t>CONTAMINATION AVOIDANCE</t>
  </si>
  <si>
    <t>CLASSIFIED PROGRAMS</t>
  </si>
  <si>
    <t>TOTAL WHS</t>
  </si>
  <si>
    <t>President's Budget Request</t>
  </si>
  <si>
    <t>Appropriation</t>
  </si>
  <si>
    <t>Distribution of Congressional Adjustments</t>
  </si>
  <si>
    <t>Adjustments Required by Statute</t>
  </si>
  <si>
    <t>Supps/ Recissions</t>
  </si>
  <si>
    <t>Cancelled Account Adjustments</t>
  </si>
  <si>
    <t xml:space="preserve">Above Threshold Reprog </t>
  </si>
  <si>
    <t>Below Threshold Reprog</t>
  </si>
  <si>
    <t>Net Program</t>
  </si>
  <si>
    <t>TOTAL PROCUREMENT</t>
  </si>
  <si>
    <t>DEFENSE CONTRACT AUDIT AGENCY</t>
  </si>
  <si>
    <t>DEFENSE LOGISTICS AGENCY</t>
  </si>
  <si>
    <t>DEFENSE THREAT REDUCTION AGENCY</t>
  </si>
  <si>
    <t>OFFICE OF THE SECRETARY OF DEFENSE</t>
  </si>
  <si>
    <t>THE JOINT STAFF</t>
  </si>
  <si>
    <t>WASHINGTON HEADQUARTERS SERVICE</t>
  </si>
  <si>
    <t>TOTAL DTRA</t>
  </si>
  <si>
    <t>TOTAL DISA</t>
  </si>
  <si>
    <t>TOTAL OSD</t>
  </si>
  <si>
    <t>MOTOR VEHICLES</t>
  </si>
  <si>
    <t>TOTAL DLA</t>
  </si>
  <si>
    <t>ITEM LESS THAN $5 MILLION</t>
  </si>
  <si>
    <t>TOTAL DCAA</t>
  </si>
  <si>
    <t>TOTAL JOINT STAFF</t>
  </si>
  <si>
    <t>TOTAL DHRA</t>
  </si>
  <si>
    <t>TOTAL AFIS/DMA</t>
  </si>
  <si>
    <t>AUTOMATION/EDUCATIONAL SUPPORT AND LOGISTICS</t>
  </si>
  <si>
    <t>TOTAL DODEA</t>
  </si>
  <si>
    <t>TOTAL DCMA</t>
  </si>
  <si>
    <t>TOTAL BTA</t>
  </si>
  <si>
    <t>MH-47 SERVIVE LIFE EXTENSION PROGRAM</t>
  </si>
  <si>
    <t>NON-STANDARD AVIATION</t>
  </si>
  <si>
    <t>SOF TANKER RECAPITALIZATION</t>
  </si>
  <si>
    <t>SOF ORDANCE REPLENISHMENT</t>
  </si>
  <si>
    <t>SOF ORDANCE ACQUISITION</t>
  </si>
  <si>
    <t>COMMUNCIATIONS EQUIPMENT AND ELECTRONICS</t>
  </si>
  <si>
    <t>MISSION TRAINING AND PREPARATION SYSTEMS</t>
  </si>
  <si>
    <t>COMBAT MISSION REQUIREMENTS</t>
  </si>
  <si>
    <t>TOTAL CLASSIFIED PROGRAMS</t>
  </si>
  <si>
    <t>AGENCY</t>
  </si>
  <si>
    <t>PROGRAM TITLE</t>
  </si>
  <si>
    <t>DEFENSE INFORMATION AGENCY</t>
  </si>
  <si>
    <t>DEFENSE HUMAN RESOURCES ACTIVITY</t>
  </si>
  <si>
    <t>DEFENSE MEDIA AGENCY/AFIS</t>
  </si>
  <si>
    <t xml:space="preserve">DEPARTMENT OF DEFENSE DEPENDENTS EDUCATION </t>
  </si>
  <si>
    <t>DEFENSE CONTRACTING MANAGENT AGENCY</t>
  </si>
  <si>
    <t>BUSINESS TRANSFORMATION AGENCY</t>
  </si>
  <si>
    <t>CHEMICAL &amp; BIOLOGICAL DEFENSE PROGRAM</t>
  </si>
  <si>
    <t>U.S. SPECIAL OPERATIONS COMMAND</t>
  </si>
  <si>
    <t>TOTAL AGENCIES</t>
  </si>
  <si>
    <t>COUNTER DRUG SPT/ADNET</t>
  </si>
  <si>
    <t>COUNTER DRUG SUPPORT</t>
  </si>
  <si>
    <t>DEFENSE INFORMATION SYSTEM NETWORK (DISN)</t>
  </si>
  <si>
    <t>SOF OPERATIONAL ENHANCEMENTS</t>
  </si>
  <si>
    <t>COLLECTIVE PROTECTION</t>
  </si>
  <si>
    <t>PUBLIC KEY INFRASTRUCTURE</t>
  </si>
  <si>
    <t>TOTAL DTSA</t>
  </si>
  <si>
    <t>JOINT COMMAND AND CONTROL PROGRAM</t>
  </si>
  <si>
    <t>CYBER SECURITY INITIATIVE</t>
  </si>
  <si>
    <t>SOF U-28</t>
  </si>
  <si>
    <t>SOF AUTOMATION SYSTEMS</t>
  </si>
  <si>
    <t>SOF GLOBAL VIDEO SURVEILLANCE ACTIVITIES</t>
  </si>
  <si>
    <t>SOF SOLDIER PROTECTION AND SURVIVAL SYSTEMS</t>
  </si>
  <si>
    <t>SOF OPERATIONAL EHANCEMENTS INTELLIGENCE</t>
  </si>
  <si>
    <t>SOF VISUAL AUGMENTATION LASERS AND SENSOR SYSTEMS</t>
  </si>
  <si>
    <t>SOF TACTICAL RADIO SYSTEMS</t>
  </si>
  <si>
    <t>THAAD</t>
  </si>
  <si>
    <t>TOTAL MDA</t>
  </si>
  <si>
    <t>TOTAL MAJOR EQUIPMENT - TOTAL BA 1</t>
  </si>
  <si>
    <t>TOTAL SPECIAL OPERATIONS COMMAND - TOTAL BA 2</t>
  </si>
  <si>
    <t>TOTAL CHEMICAL BIOLOGICAL DEFENSE - TOTAL BA 3</t>
  </si>
  <si>
    <t>GLOBAL COMMAND AND CONTROL SYSTEM</t>
  </si>
  <si>
    <t>VEHICLES</t>
  </si>
  <si>
    <t>AGEIS</t>
  </si>
  <si>
    <t>MQ-1 UAV</t>
  </si>
  <si>
    <t>MQ-9 UAV</t>
  </si>
  <si>
    <t>STUASLO</t>
  </si>
  <si>
    <t>MISSLE DEFENSE AGENCY</t>
  </si>
  <si>
    <t>DEFENSE TECHNOLOGY SECURITY AGENCY</t>
  </si>
  <si>
    <t xml:space="preserve">AN/TPY-2 RADAR </t>
  </si>
  <si>
    <t>MAJOR EQUIPMENT INTELLIGENCE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</si>
</sst>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37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4" fillId="0" borderId="1" xfId="0" applyNumberFormat="1" applyFont="1" applyBorder="1" applyAlignment="1">
      <alignment horizontal="left" vertical="top"/>
    </xf>
    <xf numFmtId="37" fontId="2" fillId="2" borderId="2" xfId="0" applyNumberFormat="1" applyFont="1" applyFill="1" applyBorder="1"/>
    <xf numFmtId="37" fontId="2" fillId="2" borderId="3" xfId="0" applyNumberFormat="1" applyFont="1" applyFill="1" applyBorder="1"/>
    <xf numFmtId="3" fontId="5" fillId="0" borderId="1" xfId="0" applyNumberFormat="1" applyFont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left" vertical="top"/>
    </xf>
    <xf numFmtId="37" fontId="2" fillId="2" borderId="4" xfId="0" applyNumberFormat="1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3" fontId="2" fillId="2" borderId="3" xfId="0" applyNumberFormat="1" applyFont="1" applyFill="1" applyBorder="1" applyAlignment="1">
      <alignment horizontal="left" vertical="top"/>
    </xf>
    <xf numFmtId="0" fontId="2" fillId="0" borderId="0" xfId="0" applyFont="1" applyFill="1"/>
    <xf numFmtId="3" fontId="2" fillId="0" borderId="5" xfId="0" applyNumberFormat="1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 wrapText="1"/>
    </xf>
    <xf numFmtId="37" fontId="2" fillId="0" borderId="6" xfId="0" applyNumberFormat="1" applyFont="1" applyBorder="1"/>
    <xf numFmtId="37" fontId="2" fillId="0" borderId="1" xfId="0" applyNumberFormat="1" applyFont="1" applyBorder="1"/>
    <xf numFmtId="37" fontId="2" fillId="0" borderId="0" xfId="0" applyNumberFormat="1" applyFont="1" applyBorder="1"/>
    <xf numFmtId="37" fontId="0" fillId="0" borderId="0" xfId="0" applyNumberFormat="1" applyBorder="1" applyAlignment="1">
      <alignment horizontal="center"/>
    </xf>
    <xf numFmtId="37" fontId="2" fillId="0" borderId="0" xfId="0" applyNumberFormat="1" applyFont="1" applyFill="1" applyBorder="1"/>
    <xf numFmtId="37" fontId="2" fillId="0" borderId="1" xfId="0" applyNumberFormat="1" applyFont="1" applyFill="1" applyBorder="1"/>
    <xf numFmtId="37" fontId="0" fillId="0" borderId="7" xfId="0" applyNumberFormat="1" applyBorder="1" applyAlignment="1">
      <alignment horizontal="center"/>
    </xf>
    <xf numFmtId="0" fontId="0" fillId="0" borderId="0" xfId="0" applyFill="1" applyBorder="1"/>
    <xf numFmtId="37" fontId="2" fillId="0" borderId="6" xfId="0" applyNumberFormat="1" applyFont="1" applyFill="1" applyBorder="1"/>
    <xf numFmtId="37" fontId="2" fillId="0" borderId="2" xfId="0" applyNumberFormat="1" applyFont="1" applyFill="1" applyBorder="1" applyAlignment="1">
      <alignment horizontal="center" wrapText="1"/>
    </xf>
    <xf numFmtId="37" fontId="2" fillId="0" borderId="1" xfId="0" applyNumberFormat="1" applyFont="1" applyFill="1" applyBorder="1" applyAlignment="1">
      <alignment horizontal="left" vertical="top"/>
    </xf>
    <xf numFmtId="37" fontId="2" fillId="0" borderId="0" xfId="0" applyNumberFormat="1" applyFont="1" applyFill="1"/>
    <xf numFmtId="0" fontId="2" fillId="3" borderId="0" xfId="0" applyFont="1" applyFill="1" applyAlignment="1">
      <alignment horizontal="left"/>
    </xf>
    <xf numFmtId="37" fontId="2" fillId="3" borderId="6" xfId="0" applyNumberFormat="1" applyFont="1" applyFill="1" applyBorder="1"/>
    <xf numFmtId="0" fontId="2" fillId="3" borderId="0" xfId="0" applyFont="1" applyFill="1"/>
    <xf numFmtId="3" fontId="2" fillId="3" borderId="3" xfId="0" applyNumberFormat="1" applyFont="1" applyFill="1" applyBorder="1" applyAlignment="1">
      <alignment horizontal="left"/>
    </xf>
    <xf numFmtId="37" fontId="2" fillId="3" borderId="2" xfId="0" applyNumberFormat="1" applyFont="1" applyFill="1" applyBorder="1"/>
    <xf numFmtId="37" fontId="2" fillId="3" borderId="3" xfId="0" applyNumberFormat="1" applyFont="1" applyFill="1" applyBorder="1" applyAlignment="1">
      <alignment horizontal="left" vertical="top"/>
    </xf>
    <xf numFmtId="37" fontId="2" fillId="3" borderId="5" xfId="0" applyNumberFormat="1" applyFont="1" applyFill="1" applyBorder="1"/>
    <xf numFmtId="37" fontId="2" fillId="3" borderId="3" xfId="0" applyNumberFormat="1" applyFont="1" applyFill="1" applyBorder="1"/>
    <xf numFmtId="0" fontId="2" fillId="0" borderId="0" xfId="0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37" fontId="1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" fillId="0" borderId="1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8" xfId="0" applyFont="1" applyFill="1" applyBorder="1"/>
    <xf numFmtId="37" fontId="1" fillId="0" borderId="1" xfId="0" applyNumberFormat="1" applyFont="1" applyBorder="1"/>
    <xf numFmtId="0" fontId="2" fillId="0" borderId="6" xfId="0" applyFont="1" applyBorder="1" applyAlignment="1">
      <alignment horizontal="left"/>
    </xf>
    <xf numFmtId="3" fontId="1" fillId="0" borderId="1" xfId="0" applyNumberFormat="1" applyFont="1" applyBorder="1"/>
    <xf numFmtId="0" fontId="1" fillId="0" borderId="6" xfId="0" applyFont="1" applyBorder="1"/>
    <xf numFmtId="0" fontId="1" fillId="0" borderId="6" xfId="0" applyFont="1" applyFill="1" applyBorder="1"/>
    <xf numFmtId="37" fontId="1" fillId="0" borderId="6" xfId="0" applyNumberFormat="1" applyFont="1" applyBorder="1"/>
    <xf numFmtId="37" fontId="1" fillId="0" borderId="0" xfId="0" applyNumberFormat="1" applyFont="1" applyBorder="1"/>
    <xf numFmtId="37" fontId="1" fillId="0" borderId="0" xfId="0" applyNumberFormat="1" applyFont="1" applyFill="1" applyBorder="1"/>
    <xf numFmtId="37" fontId="1" fillId="0" borderId="6" xfId="0" applyNumberFormat="1" applyFont="1" applyFill="1" applyBorder="1"/>
    <xf numFmtId="0" fontId="2" fillId="3" borderId="6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 vertical="top"/>
    </xf>
    <xf numFmtId="37" fontId="1" fillId="0" borderId="1" xfId="0" applyNumberFormat="1" applyFont="1" applyFill="1" applyBorder="1"/>
    <xf numFmtId="3" fontId="1" fillId="0" borderId="1" xfId="0" applyNumberFormat="1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3" fontId="1" fillId="0" borderId="1" xfId="0" applyNumberFormat="1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/>
    </xf>
    <xf numFmtId="3" fontId="2" fillId="0" borderId="6" xfId="0" applyNumberFormat="1" applyFont="1" applyBorder="1" applyAlignment="1">
      <alignment horizontal="left"/>
    </xf>
    <xf numFmtId="3" fontId="2" fillId="0" borderId="6" xfId="0" applyNumberFormat="1" applyFont="1" applyFill="1" applyBorder="1" applyAlignment="1">
      <alignment horizontal="left"/>
    </xf>
    <xf numFmtId="37" fontId="2" fillId="3" borderId="2" xfId="0" applyNumberFormat="1" applyFont="1" applyFill="1" applyBorder="1" applyAlignment="1">
      <alignment horizontal="left"/>
    </xf>
    <xf numFmtId="37" fontId="2" fillId="0" borderId="9" xfId="0" applyNumberFormat="1" applyFont="1" applyFill="1" applyBorder="1" applyAlignment="1">
      <alignment horizontal="left"/>
    </xf>
    <xf numFmtId="37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9"/>
  <sheetViews>
    <sheetView tabSelected="1" workbookViewId="0"/>
  </sheetViews>
  <sheetFormatPr defaultRowHeight="12.75"/>
  <cols>
    <col min="1" max="1" width="51.140625" style="5" customWidth="1"/>
    <col min="2" max="2" width="56.7109375" style="39" customWidth="1"/>
    <col min="3" max="3" width="12.42578125" style="39" customWidth="1"/>
    <col min="4" max="4" width="14.5703125" style="39" customWidth="1"/>
    <col min="5" max="5" width="15.85546875" style="39" customWidth="1"/>
    <col min="6" max="6" width="15.42578125" style="39" customWidth="1"/>
    <col min="7" max="7" width="14.85546875" style="39" customWidth="1"/>
    <col min="8" max="8" width="15.42578125" style="39" customWidth="1"/>
    <col min="9" max="9" width="14.140625" style="41" customWidth="1"/>
    <col min="10" max="10" width="14.28515625" style="41" customWidth="1"/>
    <col min="11" max="11" width="11.5703125" style="43" customWidth="1"/>
    <col min="12" max="12" width="10.28515625" style="39" customWidth="1"/>
    <col min="13" max="13" width="9.7109375" style="39" bestFit="1" customWidth="1"/>
    <col min="14" max="16384" width="9.140625" style="39"/>
  </cols>
  <sheetData>
    <row r="2" spans="1:11">
      <c r="D2" s="40"/>
      <c r="H2" s="40"/>
      <c r="J2" s="42"/>
    </row>
    <row r="3" spans="1:11">
      <c r="D3" s="40"/>
      <c r="E3" s="21"/>
      <c r="F3" s="40"/>
      <c r="H3" s="40"/>
      <c r="J3" s="42"/>
    </row>
    <row r="4" spans="1:11" ht="13.5" thickBot="1">
      <c r="D4" s="40"/>
      <c r="E4" s="24"/>
      <c r="F4" s="40"/>
      <c r="G4" s="40"/>
      <c r="H4" s="40"/>
      <c r="I4" s="42"/>
      <c r="J4" s="42"/>
    </row>
    <row r="5" spans="1:11" ht="51" customHeight="1" thickBot="1">
      <c r="A5" s="44" t="s">
        <v>71</v>
      </c>
      <c r="B5" s="12" t="s">
        <v>72</v>
      </c>
      <c r="C5" s="15" t="s">
        <v>32</v>
      </c>
      <c r="D5" s="17" t="s">
        <v>33</v>
      </c>
      <c r="E5" s="15" t="s">
        <v>34</v>
      </c>
      <c r="F5" s="16" t="s">
        <v>35</v>
      </c>
      <c r="G5" s="16" t="s">
        <v>36</v>
      </c>
      <c r="H5" s="16" t="s">
        <v>37</v>
      </c>
      <c r="I5" s="16" t="s">
        <v>38</v>
      </c>
      <c r="J5" s="16" t="s">
        <v>39</v>
      </c>
      <c r="K5" s="27" t="s">
        <v>40</v>
      </c>
    </row>
    <row r="6" spans="1:11">
      <c r="A6" s="45"/>
      <c r="B6" s="46"/>
      <c r="C6" s="47"/>
      <c r="D6" s="46"/>
      <c r="E6" s="48"/>
      <c r="F6" s="47"/>
      <c r="G6" s="48"/>
      <c r="H6" s="47"/>
      <c r="I6" s="49"/>
      <c r="J6" s="50"/>
      <c r="K6" s="51"/>
    </row>
    <row r="7" spans="1:11">
      <c r="A7" s="52"/>
      <c r="B7" s="53"/>
      <c r="C7" s="54"/>
      <c r="D7" s="46"/>
      <c r="E7" s="48"/>
      <c r="F7" s="54"/>
      <c r="G7" s="48"/>
      <c r="H7" s="54"/>
      <c r="I7" s="49"/>
      <c r="J7" s="55"/>
      <c r="K7" s="51"/>
    </row>
    <row r="8" spans="1:11">
      <c r="A8" s="52" t="s">
        <v>45</v>
      </c>
      <c r="B8" s="2" t="s">
        <v>5</v>
      </c>
      <c r="C8" s="56">
        <v>111487</v>
      </c>
      <c r="D8" s="51">
        <v>111487</v>
      </c>
      <c r="E8" s="57">
        <v>-344</v>
      </c>
      <c r="F8" s="56">
        <v>0</v>
      </c>
      <c r="G8" s="57">
        <f>6000-176</f>
        <v>5824</v>
      </c>
      <c r="H8" s="56">
        <v>0</v>
      </c>
      <c r="I8" s="58">
        <v>0</v>
      </c>
      <c r="J8" s="59">
        <v>0</v>
      </c>
      <c r="K8" s="51">
        <f>SUM(D8:J8)</f>
        <v>116967</v>
      </c>
    </row>
    <row r="9" spans="1:11">
      <c r="A9" s="52"/>
      <c r="B9" s="2" t="s">
        <v>112</v>
      </c>
      <c r="C9" s="56">
        <v>0</v>
      </c>
      <c r="D9" s="51">
        <v>0</v>
      </c>
      <c r="E9" s="57">
        <v>0</v>
      </c>
      <c r="F9" s="56">
        <v>0</v>
      </c>
      <c r="G9" s="57">
        <f>800+16000</f>
        <v>16800</v>
      </c>
      <c r="H9" s="56">
        <v>0</v>
      </c>
      <c r="I9" s="58">
        <v>0</v>
      </c>
      <c r="J9" s="59">
        <v>0</v>
      </c>
      <c r="K9" s="51">
        <f>SUM(D9:J9)</f>
        <v>16800</v>
      </c>
    </row>
    <row r="10" spans="1:11" s="4" customFormat="1">
      <c r="A10" s="60"/>
      <c r="B10" s="30" t="s">
        <v>50</v>
      </c>
      <c r="C10" s="31">
        <f>SUM(C8:C9)</f>
        <v>111487</v>
      </c>
      <c r="D10" s="31">
        <f t="shared" ref="D10:K10" si="0">SUM(D8:D9)</f>
        <v>111487</v>
      </c>
      <c r="E10" s="31">
        <f t="shared" si="0"/>
        <v>-344</v>
      </c>
      <c r="F10" s="31">
        <f t="shared" si="0"/>
        <v>0</v>
      </c>
      <c r="G10" s="31">
        <f t="shared" si="0"/>
        <v>22624</v>
      </c>
      <c r="H10" s="31">
        <f t="shared" si="0"/>
        <v>0</v>
      </c>
      <c r="I10" s="31">
        <f t="shared" si="0"/>
        <v>0</v>
      </c>
      <c r="J10" s="31">
        <f t="shared" si="0"/>
        <v>0</v>
      </c>
      <c r="K10" s="31">
        <f t="shared" si="0"/>
        <v>133767</v>
      </c>
    </row>
    <row r="11" spans="1:11">
      <c r="A11" s="52"/>
      <c r="B11" s="61"/>
      <c r="C11" s="56"/>
      <c r="D11" s="51"/>
      <c r="E11" s="57"/>
      <c r="F11" s="56"/>
      <c r="G11" s="57"/>
      <c r="H11" s="56"/>
      <c r="I11" s="58"/>
      <c r="J11" s="59"/>
      <c r="K11" s="51"/>
    </row>
    <row r="12" spans="1:11">
      <c r="A12" s="52" t="s">
        <v>47</v>
      </c>
      <c r="B12" t="s">
        <v>51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8">
        <v>0</v>
      </c>
      <c r="J12" s="59">
        <v>0</v>
      </c>
      <c r="K12" s="51">
        <v>0</v>
      </c>
    </row>
    <row r="13" spans="1:11">
      <c r="A13" s="52"/>
      <c r="B13" t="s">
        <v>5</v>
      </c>
      <c r="C13" s="56">
        <v>26945</v>
      </c>
      <c r="D13" s="56">
        <v>26945</v>
      </c>
      <c r="E13" s="56">
        <v>-83</v>
      </c>
      <c r="F13" s="56">
        <v>0</v>
      </c>
      <c r="G13" s="56">
        <v>0</v>
      </c>
      <c r="H13" s="56">
        <v>0</v>
      </c>
      <c r="I13" s="58">
        <v>0</v>
      </c>
      <c r="J13" s="59">
        <v>0</v>
      </c>
      <c r="K13" s="51">
        <f>SUM(D13:J13)</f>
        <v>26862</v>
      </c>
    </row>
    <row r="14" spans="1:11" s="4" customFormat="1">
      <c r="A14" s="60"/>
      <c r="B14" s="32" t="s">
        <v>31</v>
      </c>
      <c r="C14" s="31">
        <f>SUM(C13:C13)</f>
        <v>26945</v>
      </c>
      <c r="D14" s="31">
        <f>SUM(D12:D13)</f>
        <v>26945</v>
      </c>
      <c r="E14" s="31">
        <f t="shared" ref="E14:K14" si="1">SUM(E12:E13)</f>
        <v>-83</v>
      </c>
      <c r="F14" s="31">
        <f t="shared" si="1"/>
        <v>0</v>
      </c>
      <c r="G14" s="31">
        <f t="shared" si="1"/>
        <v>0</v>
      </c>
      <c r="H14" s="31">
        <f t="shared" si="1"/>
        <v>0</v>
      </c>
      <c r="I14" s="31">
        <f t="shared" si="1"/>
        <v>0</v>
      </c>
      <c r="J14" s="31">
        <f t="shared" si="1"/>
        <v>0</v>
      </c>
      <c r="K14" s="31">
        <f t="shared" si="1"/>
        <v>26862</v>
      </c>
    </row>
    <row r="15" spans="1:11">
      <c r="A15" s="52"/>
      <c r="B15" s="61"/>
      <c r="C15" s="56"/>
      <c r="D15" s="51"/>
      <c r="E15" s="57"/>
      <c r="F15" s="56"/>
      <c r="G15" s="57"/>
      <c r="H15" s="56"/>
      <c r="I15" s="58"/>
      <c r="J15" s="59"/>
      <c r="K15" s="51"/>
    </row>
    <row r="16" spans="1:11">
      <c r="A16" s="52" t="s">
        <v>73</v>
      </c>
      <c r="B16" s="1" t="s">
        <v>0</v>
      </c>
      <c r="C16" s="56">
        <v>13449</v>
      </c>
      <c r="D16" s="51">
        <v>10449</v>
      </c>
      <c r="E16" s="57">
        <v>-32</v>
      </c>
      <c r="F16" s="56">
        <v>0</v>
      </c>
      <c r="G16" s="51">
        <v>0</v>
      </c>
      <c r="H16" s="56">
        <v>0</v>
      </c>
      <c r="I16" s="59">
        <v>0</v>
      </c>
      <c r="J16" s="56">
        <v>-15</v>
      </c>
      <c r="K16" s="62">
        <f>SUM(D16:J16)</f>
        <v>10402</v>
      </c>
    </row>
    <row r="17" spans="1:11">
      <c r="A17" s="52"/>
      <c r="B17" s="1" t="s">
        <v>103</v>
      </c>
      <c r="C17" s="56">
        <v>7053</v>
      </c>
      <c r="D17" s="51">
        <v>7053</v>
      </c>
      <c r="E17" s="57">
        <v>-22</v>
      </c>
      <c r="F17" s="56">
        <v>0</v>
      </c>
      <c r="G17" s="51">
        <v>1500</v>
      </c>
      <c r="H17" s="56">
        <v>0</v>
      </c>
      <c r="I17" s="59">
        <v>0</v>
      </c>
      <c r="J17" s="56">
        <f>1093+200</f>
        <v>1293</v>
      </c>
      <c r="K17" s="62">
        <f t="shared" ref="K17:K26" si="2">SUM(D17:J17)</f>
        <v>9824</v>
      </c>
    </row>
    <row r="18" spans="1:11">
      <c r="A18" s="52"/>
      <c r="B18" s="1" t="s">
        <v>1</v>
      </c>
      <c r="C18" s="56">
        <v>2820</v>
      </c>
      <c r="D18" s="51">
        <v>2820</v>
      </c>
      <c r="E18" s="57">
        <v>-9</v>
      </c>
      <c r="F18" s="56">
        <v>0</v>
      </c>
      <c r="G18" s="51">
        <v>0</v>
      </c>
      <c r="H18" s="56">
        <v>0</v>
      </c>
      <c r="I18" s="59">
        <v>0</v>
      </c>
      <c r="J18" s="56">
        <v>54</v>
      </c>
      <c r="K18" s="62">
        <f t="shared" si="2"/>
        <v>2865</v>
      </c>
    </row>
    <row r="19" spans="1:11">
      <c r="A19" s="52"/>
      <c r="B19" s="1" t="s">
        <v>2</v>
      </c>
      <c r="C19" s="56">
        <v>68037</v>
      </c>
      <c r="D19" s="51">
        <v>68037</v>
      </c>
      <c r="E19" s="57">
        <v>-210</v>
      </c>
      <c r="F19" s="56">
        <v>0</v>
      </c>
      <c r="G19" s="51">
        <v>7411</v>
      </c>
      <c r="H19" s="56">
        <v>0</v>
      </c>
      <c r="I19" s="59">
        <v>0</v>
      </c>
      <c r="J19" s="56">
        <f>-1596+1500</f>
        <v>-96</v>
      </c>
      <c r="K19" s="62">
        <f t="shared" si="2"/>
        <v>75142</v>
      </c>
    </row>
    <row r="20" spans="1:11">
      <c r="A20" s="52"/>
      <c r="B20" s="1" t="s">
        <v>3</v>
      </c>
      <c r="C20" s="56">
        <v>196232</v>
      </c>
      <c r="D20" s="51">
        <v>196232</v>
      </c>
      <c r="E20" s="57">
        <v>-605</v>
      </c>
      <c r="F20" s="56">
        <v>0</v>
      </c>
      <c r="G20" s="51">
        <v>0</v>
      </c>
      <c r="H20" s="56">
        <v>0</v>
      </c>
      <c r="I20" s="59">
        <v>-31500</v>
      </c>
      <c r="J20" s="56">
        <f>-6795-2062</f>
        <v>-8857</v>
      </c>
      <c r="K20" s="62">
        <f t="shared" si="2"/>
        <v>155270</v>
      </c>
    </row>
    <row r="21" spans="1:11">
      <c r="A21" s="52"/>
      <c r="B21" s="1" t="s">
        <v>4</v>
      </c>
      <c r="C21" s="56">
        <v>3051</v>
      </c>
      <c r="D21" s="51">
        <v>3051</v>
      </c>
      <c r="E21" s="57">
        <v>-9</v>
      </c>
      <c r="F21" s="56">
        <v>0</v>
      </c>
      <c r="G21" s="51">
        <v>0</v>
      </c>
      <c r="H21" s="56">
        <v>0</v>
      </c>
      <c r="I21" s="59">
        <v>0</v>
      </c>
      <c r="J21" s="56">
        <v>1368</v>
      </c>
      <c r="K21" s="62">
        <f t="shared" si="2"/>
        <v>4410</v>
      </c>
    </row>
    <row r="22" spans="1:11">
      <c r="A22" s="52"/>
      <c r="B22" s="1" t="s">
        <v>84</v>
      </c>
      <c r="C22" s="56">
        <v>89725</v>
      </c>
      <c r="D22" s="51">
        <v>89725</v>
      </c>
      <c r="E22" s="57">
        <v>-277</v>
      </c>
      <c r="F22" s="56">
        <v>0</v>
      </c>
      <c r="G22" s="51">
        <v>0</v>
      </c>
      <c r="H22" s="56">
        <v>0</v>
      </c>
      <c r="I22" s="59">
        <v>0</v>
      </c>
      <c r="J22" s="56">
        <f>5920+362</f>
        <v>6282</v>
      </c>
      <c r="K22" s="62">
        <f t="shared" si="2"/>
        <v>95730</v>
      </c>
    </row>
    <row r="23" spans="1:11">
      <c r="A23" s="52"/>
      <c r="B23" s="1" t="s">
        <v>87</v>
      </c>
      <c r="C23" s="56">
        <v>1780</v>
      </c>
      <c r="D23" s="51">
        <v>1780</v>
      </c>
      <c r="E23" s="57">
        <v>-5</v>
      </c>
      <c r="F23" s="56">
        <v>0</v>
      </c>
      <c r="G23" s="51">
        <v>0</v>
      </c>
      <c r="H23" s="56">
        <v>0</v>
      </c>
      <c r="I23" s="59">
        <v>0</v>
      </c>
      <c r="J23" s="56">
        <v>-3</v>
      </c>
      <c r="K23" s="62">
        <f t="shared" si="2"/>
        <v>1772</v>
      </c>
    </row>
    <row r="24" spans="1:11">
      <c r="A24" s="52"/>
      <c r="B24" s="25" t="s">
        <v>82</v>
      </c>
      <c r="C24" s="56">
        <v>0</v>
      </c>
      <c r="D24" s="51">
        <v>0</v>
      </c>
      <c r="E24" s="57">
        <v>0</v>
      </c>
      <c r="F24" s="56">
        <v>0</v>
      </c>
      <c r="G24" s="51">
        <v>0</v>
      </c>
      <c r="H24" s="56">
        <v>0</v>
      </c>
      <c r="I24" s="59">
        <f>500+826</f>
        <v>1326</v>
      </c>
      <c r="J24" s="56">
        <v>0</v>
      </c>
      <c r="K24" s="62">
        <f t="shared" si="2"/>
        <v>1326</v>
      </c>
    </row>
    <row r="25" spans="1:11">
      <c r="A25" s="52"/>
      <c r="B25" s="25" t="s">
        <v>89</v>
      </c>
      <c r="C25" s="56">
        <v>2835</v>
      </c>
      <c r="D25" s="51">
        <v>0</v>
      </c>
      <c r="E25" s="57">
        <v>0</v>
      </c>
      <c r="F25" s="56">
        <v>0</v>
      </c>
      <c r="G25" s="51">
        <v>0</v>
      </c>
      <c r="H25" s="56">
        <v>0</v>
      </c>
      <c r="I25" s="59">
        <v>0</v>
      </c>
      <c r="J25" s="56">
        <v>0</v>
      </c>
      <c r="K25" s="62">
        <f t="shared" si="2"/>
        <v>0</v>
      </c>
    </row>
    <row r="26" spans="1:11">
      <c r="A26" s="52"/>
      <c r="B26" s="25" t="s">
        <v>90</v>
      </c>
      <c r="C26" s="56">
        <v>18188</v>
      </c>
      <c r="D26" s="51">
        <v>18188</v>
      </c>
      <c r="E26" s="57">
        <v>-56</v>
      </c>
      <c r="F26" s="56">
        <v>0</v>
      </c>
      <c r="G26" s="51">
        <v>0</v>
      </c>
      <c r="H26" s="56">
        <v>0</v>
      </c>
      <c r="I26" s="59">
        <v>0</v>
      </c>
      <c r="J26" s="56">
        <v>-26</v>
      </c>
      <c r="K26" s="62">
        <f t="shared" si="2"/>
        <v>18106</v>
      </c>
    </row>
    <row r="27" spans="1:11" s="4" customFormat="1">
      <c r="A27" s="60"/>
      <c r="B27" s="32" t="s">
        <v>49</v>
      </c>
      <c r="C27" s="31">
        <f>SUM(C16:C26)</f>
        <v>403170</v>
      </c>
      <c r="D27" s="31">
        <f>SUM(D16:D26)</f>
        <v>397335</v>
      </c>
      <c r="E27" s="31">
        <f t="shared" ref="E27:K27" si="3">SUM(E16:E26)</f>
        <v>-1225</v>
      </c>
      <c r="F27" s="31">
        <f t="shared" si="3"/>
        <v>0</v>
      </c>
      <c r="G27" s="31">
        <f t="shared" si="3"/>
        <v>8911</v>
      </c>
      <c r="H27" s="31">
        <f t="shared" si="3"/>
        <v>0</v>
      </c>
      <c r="I27" s="31">
        <f t="shared" si="3"/>
        <v>-30174</v>
      </c>
      <c r="J27" s="31">
        <f t="shared" si="3"/>
        <v>0</v>
      </c>
      <c r="K27" s="31">
        <f t="shared" si="3"/>
        <v>374847</v>
      </c>
    </row>
    <row r="28" spans="1:11">
      <c r="A28" s="52"/>
      <c r="B28" s="61"/>
      <c r="C28" s="56"/>
      <c r="D28" s="51"/>
      <c r="E28" s="57"/>
      <c r="F28" s="56"/>
      <c r="G28" s="57"/>
      <c r="H28" s="56"/>
      <c r="I28" s="58"/>
      <c r="J28" s="59"/>
      <c r="K28" s="51"/>
    </row>
    <row r="29" spans="1:11">
      <c r="A29" s="52" t="s">
        <v>43</v>
      </c>
      <c r="B29" t="s">
        <v>5</v>
      </c>
      <c r="C29" s="56">
        <v>7728</v>
      </c>
      <c r="D29" s="51">
        <v>7728</v>
      </c>
      <c r="E29" s="57">
        <v>-24</v>
      </c>
      <c r="F29" s="56">
        <v>0</v>
      </c>
      <c r="G29" s="51">
        <v>0</v>
      </c>
      <c r="H29" s="56">
        <v>0</v>
      </c>
      <c r="I29" s="58">
        <v>0</v>
      </c>
      <c r="J29" s="59">
        <v>0</v>
      </c>
      <c r="K29" s="62">
        <f>SUM(D29:J29)</f>
        <v>7704</v>
      </c>
    </row>
    <row r="30" spans="1:11">
      <c r="A30" s="60"/>
      <c r="B30" s="32" t="s">
        <v>52</v>
      </c>
      <c r="C30" s="31">
        <f>SUM(C29)</f>
        <v>7728</v>
      </c>
      <c r="D30" s="31">
        <f t="shared" ref="D30:K30" si="4">SUM(D29)</f>
        <v>7728</v>
      </c>
      <c r="E30" s="31">
        <f t="shared" si="4"/>
        <v>-24</v>
      </c>
      <c r="F30" s="31">
        <f t="shared" si="4"/>
        <v>0</v>
      </c>
      <c r="G30" s="31">
        <f t="shared" si="4"/>
        <v>0</v>
      </c>
      <c r="H30" s="31">
        <f t="shared" si="4"/>
        <v>0</v>
      </c>
      <c r="I30" s="31">
        <f t="shared" si="4"/>
        <v>0</v>
      </c>
      <c r="J30" s="31">
        <f t="shared" si="4"/>
        <v>0</v>
      </c>
      <c r="K30" s="31">
        <f t="shared" si="4"/>
        <v>7704</v>
      </c>
    </row>
    <row r="31" spans="1:11">
      <c r="A31" s="52"/>
      <c r="B31" s="6"/>
      <c r="C31" s="56"/>
      <c r="D31" s="51"/>
      <c r="E31" s="57"/>
      <c r="F31" s="56"/>
      <c r="G31" s="57"/>
      <c r="H31" s="56"/>
      <c r="I31" s="58"/>
      <c r="J31" s="59"/>
      <c r="K31" s="51"/>
    </row>
    <row r="32" spans="1:11">
      <c r="A32" s="52" t="s">
        <v>42</v>
      </c>
      <c r="B32" t="s">
        <v>53</v>
      </c>
      <c r="C32" s="56">
        <v>1489</v>
      </c>
      <c r="D32" s="51">
        <v>1489</v>
      </c>
      <c r="E32" s="57">
        <v>-5</v>
      </c>
      <c r="F32" s="56">
        <v>0</v>
      </c>
      <c r="G32" s="51">
        <v>0</v>
      </c>
      <c r="H32" s="56">
        <v>0</v>
      </c>
      <c r="I32" s="58">
        <v>0</v>
      </c>
      <c r="J32" s="59">
        <v>0</v>
      </c>
      <c r="K32" s="62">
        <f>SUM(D32:J32)</f>
        <v>1484</v>
      </c>
    </row>
    <row r="33" spans="1:11" s="4" customFormat="1">
      <c r="A33" s="60"/>
      <c r="B33" s="32" t="s">
        <v>54</v>
      </c>
      <c r="C33" s="31">
        <f>SUM(C32)</f>
        <v>1489</v>
      </c>
      <c r="D33" s="31">
        <f>SUM(D32)</f>
        <v>1489</v>
      </c>
      <c r="E33" s="31">
        <f t="shared" ref="E33:K33" si="5">SUM(E32)</f>
        <v>-5</v>
      </c>
      <c r="F33" s="31">
        <f t="shared" si="5"/>
        <v>0</v>
      </c>
      <c r="G33" s="31">
        <f t="shared" si="5"/>
        <v>0</v>
      </c>
      <c r="H33" s="31">
        <f t="shared" si="5"/>
        <v>0</v>
      </c>
      <c r="I33" s="31">
        <f t="shared" si="5"/>
        <v>0</v>
      </c>
      <c r="J33" s="31">
        <f t="shared" si="5"/>
        <v>0</v>
      </c>
      <c r="K33" s="31">
        <f t="shared" si="5"/>
        <v>1484</v>
      </c>
    </row>
    <row r="34" spans="1:11">
      <c r="A34" s="52"/>
      <c r="B34" s="6"/>
      <c r="C34" s="56"/>
      <c r="D34" s="51"/>
      <c r="E34" s="57"/>
      <c r="F34" s="56"/>
      <c r="G34" s="57"/>
      <c r="H34" s="56"/>
      <c r="I34" s="58"/>
      <c r="J34" s="59"/>
      <c r="K34" s="51"/>
    </row>
    <row r="35" spans="1:11">
      <c r="A35" s="52" t="s">
        <v>46</v>
      </c>
      <c r="B35" t="s">
        <v>5</v>
      </c>
      <c r="C35" s="56">
        <v>12065</v>
      </c>
      <c r="D35" s="51">
        <v>12065</v>
      </c>
      <c r="E35" s="57">
        <v>-37</v>
      </c>
      <c r="F35" s="56">
        <v>0</v>
      </c>
      <c r="G35" s="51">
        <v>0</v>
      </c>
      <c r="H35" s="56">
        <v>0</v>
      </c>
      <c r="I35" s="58">
        <v>0</v>
      </c>
      <c r="J35" s="59">
        <v>0</v>
      </c>
      <c r="K35" s="62">
        <f>SUM(D35:J35)</f>
        <v>12028</v>
      </c>
    </row>
    <row r="36" spans="1:11" s="4" customFormat="1">
      <c r="A36" s="60"/>
      <c r="B36" s="32" t="s">
        <v>55</v>
      </c>
      <c r="C36" s="31">
        <f>SUM(C35)</f>
        <v>12065</v>
      </c>
      <c r="D36" s="31">
        <f t="shared" ref="D36:K36" si="6">SUM(D35)</f>
        <v>12065</v>
      </c>
      <c r="E36" s="31">
        <f t="shared" si="6"/>
        <v>-37</v>
      </c>
      <c r="F36" s="31">
        <f t="shared" si="6"/>
        <v>0</v>
      </c>
      <c r="G36" s="31">
        <f t="shared" si="6"/>
        <v>0</v>
      </c>
      <c r="H36" s="31">
        <f t="shared" si="6"/>
        <v>0</v>
      </c>
      <c r="I36" s="31">
        <f t="shared" si="6"/>
        <v>0</v>
      </c>
      <c r="J36" s="31">
        <f t="shared" si="6"/>
        <v>0</v>
      </c>
      <c r="K36" s="31">
        <f t="shared" si="6"/>
        <v>12028</v>
      </c>
    </row>
    <row r="37" spans="1:11">
      <c r="A37" s="52"/>
      <c r="B37" s="6"/>
      <c r="C37" s="56"/>
      <c r="D37" s="51"/>
      <c r="E37" s="57"/>
      <c r="F37" s="56"/>
      <c r="G37" s="57"/>
      <c r="H37" s="56"/>
      <c r="I37" s="58"/>
      <c r="J37" s="59"/>
      <c r="K37" s="51"/>
    </row>
    <row r="38" spans="1:11">
      <c r="A38" s="52" t="s">
        <v>74</v>
      </c>
      <c r="B38" t="s">
        <v>6</v>
      </c>
      <c r="C38" s="56">
        <v>10431</v>
      </c>
      <c r="D38" s="51">
        <v>10431</v>
      </c>
      <c r="E38" s="57">
        <v>-32</v>
      </c>
      <c r="F38" s="56">
        <v>0</v>
      </c>
      <c r="G38" s="51">
        <v>0</v>
      </c>
      <c r="H38" s="56">
        <v>0</v>
      </c>
      <c r="I38" s="58">
        <v>7000</v>
      </c>
      <c r="J38" s="59">
        <v>0</v>
      </c>
      <c r="K38" s="62">
        <f>SUM(D38:J38)</f>
        <v>17399</v>
      </c>
    </row>
    <row r="39" spans="1:11" s="4" customFormat="1">
      <c r="A39" s="60"/>
      <c r="B39" s="32" t="s">
        <v>56</v>
      </c>
      <c r="C39" s="31">
        <v>10431</v>
      </c>
      <c r="D39" s="31">
        <f>SUM(D38)</f>
        <v>10431</v>
      </c>
      <c r="E39" s="31">
        <f t="shared" ref="E39:K39" si="7">SUM(E38)</f>
        <v>-32</v>
      </c>
      <c r="F39" s="31">
        <f t="shared" si="7"/>
        <v>0</v>
      </c>
      <c r="G39" s="31">
        <f t="shared" si="7"/>
        <v>0</v>
      </c>
      <c r="H39" s="31">
        <f t="shared" si="7"/>
        <v>0</v>
      </c>
      <c r="I39" s="31">
        <f t="shared" si="7"/>
        <v>7000</v>
      </c>
      <c r="J39" s="31">
        <f t="shared" si="7"/>
        <v>0</v>
      </c>
      <c r="K39" s="31">
        <f t="shared" si="7"/>
        <v>17399</v>
      </c>
    </row>
    <row r="40" spans="1:11">
      <c r="A40" s="52"/>
      <c r="B40" s="63"/>
      <c r="C40" s="56"/>
      <c r="D40" s="51"/>
      <c r="E40" s="57"/>
      <c r="F40" s="56"/>
      <c r="G40" s="57"/>
      <c r="H40" s="56"/>
      <c r="I40" s="58"/>
      <c r="J40" s="59"/>
      <c r="K40" s="51"/>
    </row>
    <row r="41" spans="1:11">
      <c r="A41" s="52" t="s">
        <v>44</v>
      </c>
      <c r="B41" s="25" t="s">
        <v>104</v>
      </c>
      <c r="C41" s="56">
        <v>50</v>
      </c>
      <c r="D41" s="51">
        <v>50</v>
      </c>
      <c r="E41" s="57">
        <v>0</v>
      </c>
      <c r="F41" s="56">
        <v>0</v>
      </c>
      <c r="G41" s="51">
        <v>0</v>
      </c>
      <c r="H41" s="56">
        <v>0</v>
      </c>
      <c r="I41" s="58">
        <v>0</v>
      </c>
      <c r="J41" s="59">
        <v>0</v>
      </c>
      <c r="K41" s="62">
        <f>SUM(D41:J41)</f>
        <v>50</v>
      </c>
    </row>
    <row r="42" spans="1:11">
      <c r="A42" s="52"/>
      <c r="B42" s="1" t="s">
        <v>7</v>
      </c>
      <c r="C42" s="56">
        <v>7447</v>
      </c>
      <c r="D42" s="51">
        <v>7447</v>
      </c>
      <c r="E42" s="57">
        <v>-23</v>
      </c>
      <c r="F42" s="56">
        <v>0</v>
      </c>
      <c r="G42" s="51">
        <v>0</v>
      </c>
      <c r="H42" s="56">
        <v>0</v>
      </c>
      <c r="I42" s="58">
        <v>0</v>
      </c>
      <c r="J42" s="59">
        <v>0</v>
      </c>
      <c r="K42" s="62">
        <f>SUM(D42:J42)</f>
        <v>7424</v>
      </c>
    </row>
    <row r="43" spans="1:11" s="4" customFormat="1">
      <c r="A43" s="60"/>
      <c r="B43" s="32" t="s">
        <v>48</v>
      </c>
      <c r="C43" s="31">
        <f>SUM(C41:C42)</f>
        <v>7497</v>
      </c>
      <c r="D43" s="31">
        <f t="shared" ref="D43:K43" si="8">SUM(D41:D42)</f>
        <v>7497</v>
      </c>
      <c r="E43" s="31">
        <f t="shared" si="8"/>
        <v>-23</v>
      </c>
      <c r="F43" s="31">
        <f t="shared" si="8"/>
        <v>0</v>
      </c>
      <c r="G43" s="31">
        <f t="shared" si="8"/>
        <v>0</v>
      </c>
      <c r="H43" s="31">
        <f t="shared" si="8"/>
        <v>0</v>
      </c>
      <c r="I43" s="31">
        <f t="shared" si="8"/>
        <v>0</v>
      </c>
      <c r="J43" s="31">
        <f t="shared" si="8"/>
        <v>0</v>
      </c>
      <c r="K43" s="31">
        <f t="shared" si="8"/>
        <v>7474</v>
      </c>
    </row>
    <row r="44" spans="1:11">
      <c r="A44" s="52"/>
      <c r="B44" s="61"/>
      <c r="C44" s="56"/>
      <c r="D44" s="51"/>
      <c r="E44" s="57"/>
      <c r="F44" s="56"/>
      <c r="G44" s="57"/>
      <c r="H44" s="56"/>
      <c r="I44" s="58"/>
      <c r="J44" s="59"/>
      <c r="K44" s="51"/>
    </row>
    <row r="45" spans="1:11">
      <c r="A45" s="52" t="s">
        <v>75</v>
      </c>
      <c r="B45" t="s">
        <v>5</v>
      </c>
      <c r="C45" s="56">
        <v>10149</v>
      </c>
      <c r="D45" s="51">
        <v>10149</v>
      </c>
      <c r="E45" s="57">
        <v>-31</v>
      </c>
      <c r="F45" s="56">
        <v>0</v>
      </c>
      <c r="G45" s="51">
        <v>0</v>
      </c>
      <c r="H45" s="56">
        <v>0</v>
      </c>
      <c r="I45" s="58">
        <v>0</v>
      </c>
      <c r="J45" s="59">
        <v>0</v>
      </c>
      <c r="K45" s="62">
        <f>SUM(D45:J45)</f>
        <v>10118</v>
      </c>
    </row>
    <row r="46" spans="1:11" s="4" customFormat="1">
      <c r="A46" s="60"/>
      <c r="B46" s="32" t="s">
        <v>57</v>
      </c>
      <c r="C46" s="31">
        <f>SUM(C45)</f>
        <v>10149</v>
      </c>
      <c r="D46" s="31">
        <f t="shared" ref="D46:K46" si="9">SUM(D45)</f>
        <v>10149</v>
      </c>
      <c r="E46" s="31">
        <f t="shared" si="9"/>
        <v>-31</v>
      </c>
      <c r="F46" s="31">
        <f t="shared" si="9"/>
        <v>0</v>
      </c>
      <c r="G46" s="31">
        <f t="shared" si="9"/>
        <v>0</v>
      </c>
      <c r="H46" s="31">
        <f t="shared" si="9"/>
        <v>0</v>
      </c>
      <c r="I46" s="31">
        <f t="shared" si="9"/>
        <v>0</v>
      </c>
      <c r="J46" s="31">
        <f t="shared" si="9"/>
        <v>0</v>
      </c>
      <c r="K46" s="31">
        <f t="shared" si="9"/>
        <v>10118</v>
      </c>
    </row>
    <row r="47" spans="1:11">
      <c r="A47" s="52"/>
      <c r="B47" s="61"/>
      <c r="C47" s="56"/>
      <c r="D47" s="51"/>
      <c r="E47" s="57"/>
      <c r="F47" s="56"/>
      <c r="G47" s="57"/>
      <c r="H47" s="56"/>
      <c r="I47" s="58"/>
      <c r="J47" s="59"/>
      <c r="K47" s="51"/>
    </row>
    <row r="48" spans="1:11">
      <c r="A48" s="52" t="s">
        <v>76</v>
      </c>
      <c r="B48" t="s">
        <v>58</v>
      </c>
      <c r="C48" s="56">
        <v>1463</v>
      </c>
      <c r="D48" s="51">
        <v>1463</v>
      </c>
      <c r="E48" s="57">
        <v>-5</v>
      </c>
      <c r="F48" s="56">
        <v>0</v>
      </c>
      <c r="G48" s="51">
        <v>0</v>
      </c>
      <c r="H48" s="56">
        <v>0</v>
      </c>
      <c r="I48" s="58">
        <v>0</v>
      </c>
      <c r="J48" s="59">
        <v>0</v>
      </c>
      <c r="K48" s="62">
        <f>SUM(D48:J48)</f>
        <v>1458</v>
      </c>
    </row>
    <row r="49" spans="1:11" s="4" customFormat="1">
      <c r="A49" s="60"/>
      <c r="B49" s="32" t="s">
        <v>59</v>
      </c>
      <c r="C49" s="31">
        <f>SUM(C48)</f>
        <v>1463</v>
      </c>
      <c r="D49" s="31">
        <f>SUM(D48)</f>
        <v>1463</v>
      </c>
      <c r="E49" s="31">
        <v>-5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1458</v>
      </c>
    </row>
    <row r="50" spans="1:11">
      <c r="A50" s="52"/>
      <c r="B50" s="6"/>
      <c r="C50" s="56"/>
      <c r="D50" s="51"/>
      <c r="E50" s="57"/>
      <c r="F50" s="56"/>
      <c r="G50" s="57"/>
      <c r="H50" s="56"/>
      <c r="I50" s="58"/>
      <c r="J50" s="59"/>
      <c r="K50" s="51"/>
    </row>
    <row r="51" spans="1:11">
      <c r="A51" s="52" t="s">
        <v>77</v>
      </c>
      <c r="B51" t="s">
        <v>5</v>
      </c>
      <c r="C51" s="56">
        <v>2012</v>
      </c>
      <c r="D51" s="51">
        <v>2012</v>
      </c>
      <c r="E51" s="57">
        <v>-6</v>
      </c>
      <c r="F51" s="56">
        <v>0</v>
      </c>
      <c r="G51" s="51">
        <v>0</v>
      </c>
      <c r="H51" s="56">
        <v>0</v>
      </c>
      <c r="I51" s="58">
        <v>0</v>
      </c>
      <c r="J51" s="59">
        <v>0</v>
      </c>
      <c r="K51" s="62">
        <f>SUM(D51:J51)</f>
        <v>2006</v>
      </c>
    </row>
    <row r="52" spans="1:11" s="4" customFormat="1">
      <c r="A52" s="60"/>
      <c r="B52" s="32" t="s">
        <v>60</v>
      </c>
      <c r="C52" s="31">
        <f>SUM(C51)</f>
        <v>2012</v>
      </c>
      <c r="D52" s="31">
        <f t="shared" ref="D52:K52" si="10">SUM(D51)</f>
        <v>2012</v>
      </c>
      <c r="E52" s="31">
        <f t="shared" si="10"/>
        <v>-6</v>
      </c>
      <c r="F52" s="31">
        <f t="shared" si="10"/>
        <v>0</v>
      </c>
      <c r="G52" s="31">
        <f t="shared" si="10"/>
        <v>0</v>
      </c>
      <c r="H52" s="31">
        <f t="shared" si="10"/>
        <v>0</v>
      </c>
      <c r="I52" s="31">
        <f t="shared" si="10"/>
        <v>0</v>
      </c>
      <c r="J52" s="31">
        <f t="shared" si="10"/>
        <v>0</v>
      </c>
      <c r="K52" s="31">
        <f t="shared" si="10"/>
        <v>2006</v>
      </c>
    </row>
    <row r="53" spans="1:11">
      <c r="A53" s="52"/>
      <c r="B53" s="61"/>
      <c r="C53" s="56"/>
      <c r="D53" s="51"/>
      <c r="E53" s="57"/>
      <c r="F53" s="56"/>
      <c r="G53" s="57"/>
      <c r="H53" s="56"/>
      <c r="I53" s="58"/>
      <c r="J53" s="59"/>
      <c r="K53" s="51"/>
    </row>
    <row r="54" spans="1:11">
      <c r="A54" s="52" t="s">
        <v>78</v>
      </c>
      <c r="B54" t="s">
        <v>5</v>
      </c>
      <c r="C54" s="56">
        <v>8858</v>
      </c>
      <c r="D54" s="51">
        <v>8858</v>
      </c>
      <c r="E54" s="57">
        <v>-27</v>
      </c>
      <c r="F54" s="56">
        <v>0</v>
      </c>
      <c r="G54" s="51">
        <v>0</v>
      </c>
      <c r="H54" s="56">
        <v>0</v>
      </c>
      <c r="I54" s="58">
        <v>0</v>
      </c>
      <c r="J54" s="59">
        <v>0</v>
      </c>
      <c r="K54" s="62">
        <f>SUM(D54:J54)</f>
        <v>8831</v>
      </c>
    </row>
    <row r="55" spans="1:11" s="4" customFormat="1">
      <c r="A55" s="60"/>
      <c r="B55" s="32" t="s">
        <v>61</v>
      </c>
      <c r="C55" s="31">
        <f>SUM(C54)</f>
        <v>8858</v>
      </c>
      <c r="D55" s="31">
        <f t="shared" ref="D55:K55" si="11">SUM(D54)</f>
        <v>8858</v>
      </c>
      <c r="E55" s="31">
        <f t="shared" si="11"/>
        <v>-27</v>
      </c>
      <c r="F55" s="31">
        <f t="shared" si="11"/>
        <v>0</v>
      </c>
      <c r="G55" s="31">
        <f t="shared" si="11"/>
        <v>0</v>
      </c>
      <c r="H55" s="31">
        <f t="shared" si="11"/>
        <v>0</v>
      </c>
      <c r="I55" s="31">
        <f t="shared" si="11"/>
        <v>0</v>
      </c>
      <c r="J55" s="31">
        <f t="shared" si="11"/>
        <v>0</v>
      </c>
      <c r="K55" s="31">
        <f t="shared" si="11"/>
        <v>8831</v>
      </c>
    </row>
    <row r="56" spans="1:11" s="4" customFormat="1">
      <c r="A56" s="52"/>
      <c r="C56" s="18"/>
      <c r="D56" s="18"/>
      <c r="E56" s="18"/>
      <c r="F56" s="18"/>
      <c r="G56" s="18"/>
      <c r="H56" s="18"/>
      <c r="I56" s="26"/>
      <c r="J56" s="26"/>
      <c r="K56" s="18"/>
    </row>
    <row r="57" spans="1:11" s="4" customFormat="1">
      <c r="A57" s="52" t="s">
        <v>110</v>
      </c>
      <c r="B57" s="49" t="s">
        <v>5</v>
      </c>
      <c r="C57" s="56">
        <v>436</v>
      </c>
      <c r="D57" s="51">
        <v>436</v>
      </c>
      <c r="E57" s="57">
        <v>-1</v>
      </c>
      <c r="F57" s="56">
        <v>0</v>
      </c>
      <c r="G57" s="51">
        <v>0</v>
      </c>
      <c r="H57" s="56">
        <v>0</v>
      </c>
      <c r="I57" s="58">
        <v>0</v>
      </c>
      <c r="J57" s="59">
        <v>0</v>
      </c>
      <c r="K57" s="62">
        <f>SUM(D57:J57)</f>
        <v>435</v>
      </c>
    </row>
    <row r="58" spans="1:11" s="4" customFormat="1">
      <c r="A58" s="60"/>
      <c r="B58" s="32" t="s">
        <v>88</v>
      </c>
      <c r="C58" s="31">
        <v>436</v>
      </c>
      <c r="D58" s="31">
        <f>SUM(D57)</f>
        <v>436</v>
      </c>
      <c r="E58" s="31">
        <f t="shared" ref="E58:K58" si="12">SUM(E57)</f>
        <v>-1</v>
      </c>
      <c r="F58" s="31">
        <f t="shared" si="12"/>
        <v>0</v>
      </c>
      <c r="G58" s="31">
        <f t="shared" si="12"/>
        <v>0</v>
      </c>
      <c r="H58" s="31">
        <f t="shared" si="12"/>
        <v>0</v>
      </c>
      <c r="I58" s="31">
        <f t="shared" si="12"/>
        <v>0</v>
      </c>
      <c r="J58" s="31">
        <f t="shared" si="12"/>
        <v>0</v>
      </c>
      <c r="K58" s="31">
        <f t="shared" si="12"/>
        <v>435</v>
      </c>
    </row>
    <row r="59" spans="1:11" s="4" customFormat="1">
      <c r="A59" s="52"/>
      <c r="C59" s="18"/>
      <c r="D59" s="18"/>
      <c r="E59" s="18"/>
      <c r="F59" s="18"/>
      <c r="G59" s="18"/>
      <c r="H59" s="18"/>
      <c r="I59" s="26"/>
      <c r="J59" s="26"/>
      <c r="K59" s="18"/>
    </row>
    <row r="60" spans="1:11" s="4" customFormat="1">
      <c r="A60" s="52" t="s">
        <v>109</v>
      </c>
      <c r="B60" s="1" t="s">
        <v>98</v>
      </c>
      <c r="C60" s="56">
        <v>420300</v>
      </c>
      <c r="D60" s="51">
        <v>420300</v>
      </c>
      <c r="E60" s="57">
        <v>-1296</v>
      </c>
      <c r="F60" s="56">
        <v>0</v>
      </c>
      <c r="G60" s="51">
        <v>0</v>
      </c>
      <c r="H60" s="56">
        <v>0</v>
      </c>
      <c r="I60" s="58">
        <v>0</v>
      </c>
      <c r="J60" s="59">
        <v>180</v>
      </c>
      <c r="K60" s="62">
        <f>SUM(D60:J60)</f>
        <v>419184</v>
      </c>
    </row>
    <row r="61" spans="1:11" s="4" customFormat="1">
      <c r="A61" s="52"/>
      <c r="B61" s="1" t="s">
        <v>105</v>
      </c>
      <c r="C61" s="56">
        <v>168723</v>
      </c>
      <c r="D61" s="51">
        <v>226323</v>
      </c>
      <c r="E61" s="57">
        <v>-698</v>
      </c>
      <c r="F61" s="56">
        <v>0</v>
      </c>
      <c r="G61" s="51">
        <v>0</v>
      </c>
      <c r="H61" s="56">
        <v>0</v>
      </c>
      <c r="I61" s="58">
        <v>0</v>
      </c>
      <c r="J61" s="59">
        <v>0</v>
      </c>
      <c r="K61" s="62">
        <f>SUM(D61:J61)</f>
        <v>225625</v>
      </c>
    </row>
    <row r="62" spans="1:11" s="4" customFormat="1">
      <c r="A62" s="52"/>
      <c r="B62" s="25" t="s">
        <v>111</v>
      </c>
      <c r="C62" s="56">
        <v>0</v>
      </c>
      <c r="D62" s="51">
        <v>0</v>
      </c>
      <c r="E62" s="57">
        <v>0</v>
      </c>
      <c r="F62" s="56">
        <v>0</v>
      </c>
      <c r="G62" s="51">
        <v>0</v>
      </c>
      <c r="H62" s="56">
        <v>0</v>
      </c>
      <c r="I62" s="58">
        <v>191081</v>
      </c>
      <c r="J62" s="59">
        <v>-180</v>
      </c>
      <c r="K62" s="62">
        <f>SUM(D62:J62)</f>
        <v>190901</v>
      </c>
    </row>
    <row r="63" spans="1:11" s="4" customFormat="1">
      <c r="A63" s="60"/>
      <c r="B63" s="32" t="s">
        <v>99</v>
      </c>
      <c r="C63" s="31">
        <f t="shared" ref="C63:K63" si="13">SUM(C60:C62)</f>
        <v>589023</v>
      </c>
      <c r="D63" s="31">
        <f t="shared" si="13"/>
        <v>646623</v>
      </c>
      <c r="E63" s="31">
        <f t="shared" si="13"/>
        <v>-1994</v>
      </c>
      <c r="F63" s="31">
        <f t="shared" si="13"/>
        <v>0</v>
      </c>
      <c r="G63" s="31">
        <f t="shared" si="13"/>
        <v>0</v>
      </c>
      <c r="H63" s="31">
        <f t="shared" si="13"/>
        <v>0</v>
      </c>
      <c r="I63" s="31">
        <f t="shared" si="13"/>
        <v>191081</v>
      </c>
      <c r="J63" s="31">
        <f t="shared" si="13"/>
        <v>0</v>
      </c>
      <c r="K63" s="31">
        <f t="shared" si="13"/>
        <v>835710</v>
      </c>
    </row>
    <row r="64" spans="1:11" s="4" customFormat="1" ht="13.5" thickBot="1">
      <c r="A64" s="52"/>
      <c r="C64" s="18"/>
      <c r="D64" s="19"/>
      <c r="E64" s="18"/>
      <c r="F64" s="18"/>
      <c r="G64" s="20"/>
      <c r="H64" s="18"/>
      <c r="I64" s="22"/>
      <c r="J64" s="26"/>
      <c r="K64" s="19"/>
    </row>
    <row r="65" spans="1:12" s="14" customFormat="1" ht="13.5" thickBot="1">
      <c r="A65" s="64"/>
      <c r="B65" s="13" t="s">
        <v>100</v>
      </c>
      <c r="C65" s="7">
        <f>SUM(C10+C14+C27+C30+C33+C36+C39+C43+C46+C49+C52+C55+C58+C63)</f>
        <v>1192753</v>
      </c>
      <c r="D65" s="7">
        <f t="shared" ref="D65:K65" si="14">SUM(D10+D14+D27+D30+D33+D36+D39+D43+D46+D49+D52+D55+D58+D63)</f>
        <v>1244518</v>
      </c>
      <c r="E65" s="7">
        <f t="shared" si="14"/>
        <v>-3837</v>
      </c>
      <c r="F65" s="7">
        <f t="shared" si="14"/>
        <v>0</v>
      </c>
      <c r="G65" s="7">
        <f t="shared" si="14"/>
        <v>31535</v>
      </c>
      <c r="H65" s="7">
        <f t="shared" si="14"/>
        <v>0</v>
      </c>
      <c r="I65" s="34">
        <f t="shared" si="14"/>
        <v>167907</v>
      </c>
      <c r="J65" s="7">
        <f t="shared" si="14"/>
        <v>0</v>
      </c>
      <c r="K65" s="7">
        <f t="shared" si="14"/>
        <v>1440123</v>
      </c>
    </row>
    <row r="66" spans="1:12">
      <c r="A66" s="65"/>
      <c r="B66" s="66"/>
      <c r="C66" s="56"/>
      <c r="D66" s="51"/>
      <c r="E66" s="57"/>
      <c r="F66" s="56"/>
      <c r="G66" s="57"/>
      <c r="H66" s="56"/>
      <c r="I66" s="58"/>
      <c r="J66" s="59"/>
      <c r="K66" s="51"/>
    </row>
    <row r="67" spans="1:12">
      <c r="A67" s="52" t="s">
        <v>80</v>
      </c>
      <c r="B67" s="1" t="s">
        <v>8</v>
      </c>
      <c r="C67" s="56">
        <v>101936</v>
      </c>
      <c r="D67" s="51">
        <v>90936</v>
      </c>
      <c r="E67" s="57">
        <v>-280</v>
      </c>
      <c r="F67" s="56">
        <v>0</v>
      </c>
      <c r="G67" s="51">
        <v>0</v>
      </c>
      <c r="H67" s="56">
        <v>0</v>
      </c>
      <c r="I67" s="58">
        <v>493</v>
      </c>
      <c r="J67" s="59">
        <f>2271+256+4265</f>
        <v>6792</v>
      </c>
      <c r="K67" s="62">
        <f>SUM(D67:J67)</f>
        <v>97941</v>
      </c>
      <c r="L67" s="43"/>
    </row>
    <row r="68" spans="1:12">
      <c r="A68" s="52"/>
      <c r="B68" s="1" t="s">
        <v>62</v>
      </c>
      <c r="C68" s="56">
        <v>22958</v>
      </c>
      <c r="D68" s="51">
        <v>28858</v>
      </c>
      <c r="E68" s="57">
        <v>-89</v>
      </c>
      <c r="F68" s="56">
        <v>0</v>
      </c>
      <c r="G68" s="51">
        <v>28500</v>
      </c>
      <c r="H68" s="56">
        <v>0</v>
      </c>
      <c r="I68" s="58">
        <v>0</v>
      </c>
      <c r="J68" s="59">
        <f>-2527-1400</f>
        <v>-3927</v>
      </c>
      <c r="K68" s="62">
        <f t="shared" ref="K68:K103" si="15">SUM(D68:J68)</f>
        <v>53342</v>
      </c>
      <c r="L68" s="43"/>
    </row>
    <row r="69" spans="1:12">
      <c r="A69" s="52"/>
      <c r="B69" s="1" t="s">
        <v>9</v>
      </c>
      <c r="C69" s="56">
        <v>146820</v>
      </c>
      <c r="D69" s="51">
        <v>146820</v>
      </c>
      <c r="E69" s="57">
        <v>-453</v>
      </c>
      <c r="F69" s="56">
        <v>0</v>
      </c>
      <c r="G69" s="51">
        <v>4600</v>
      </c>
      <c r="H69" s="56">
        <v>0</v>
      </c>
      <c r="I69" s="58">
        <v>-23348</v>
      </c>
      <c r="J69" s="59">
        <f>-797</f>
        <v>-797</v>
      </c>
      <c r="K69" s="62">
        <f t="shared" si="15"/>
        <v>126822</v>
      </c>
      <c r="L69" s="43"/>
    </row>
    <row r="70" spans="1:12">
      <c r="A70" s="52"/>
      <c r="B70" s="1" t="s">
        <v>63</v>
      </c>
      <c r="C70" s="56">
        <v>227552</v>
      </c>
      <c r="D70" s="51">
        <v>177552</v>
      </c>
      <c r="E70" s="57">
        <v>-548</v>
      </c>
      <c r="F70" s="56">
        <v>0</v>
      </c>
      <c r="G70" s="51">
        <v>0</v>
      </c>
      <c r="H70" s="56">
        <v>0</v>
      </c>
      <c r="I70" s="58">
        <v>0</v>
      </c>
      <c r="J70" s="59">
        <v>-500</v>
      </c>
      <c r="K70" s="62">
        <f t="shared" si="15"/>
        <v>176504</v>
      </c>
      <c r="L70" s="43"/>
    </row>
    <row r="71" spans="1:12">
      <c r="A71" s="52"/>
      <c r="B71" s="1" t="s">
        <v>64</v>
      </c>
      <c r="C71" s="56">
        <v>34200</v>
      </c>
      <c r="D71" s="51">
        <v>34200</v>
      </c>
      <c r="E71" s="57">
        <v>-105</v>
      </c>
      <c r="F71" s="56">
        <v>0</v>
      </c>
      <c r="G71" s="51">
        <v>0</v>
      </c>
      <c r="H71" s="56">
        <v>0</v>
      </c>
      <c r="I71" s="58">
        <v>0</v>
      </c>
      <c r="J71" s="59">
        <f>2300-2924-4400-54-1740</f>
        <v>-6818</v>
      </c>
      <c r="K71" s="62">
        <f t="shared" si="15"/>
        <v>27277</v>
      </c>
      <c r="L71" s="43"/>
    </row>
    <row r="72" spans="1:12">
      <c r="A72" s="52"/>
      <c r="B72" s="1" t="s">
        <v>91</v>
      </c>
      <c r="C72" s="56">
        <v>2518</v>
      </c>
      <c r="D72" s="51">
        <v>2518</v>
      </c>
      <c r="E72" s="57">
        <v>-8</v>
      </c>
      <c r="F72" s="56">
        <v>0</v>
      </c>
      <c r="G72" s="51">
        <v>3000</v>
      </c>
      <c r="H72" s="56">
        <v>0</v>
      </c>
      <c r="I72" s="58">
        <v>0</v>
      </c>
      <c r="J72" s="59">
        <v>0</v>
      </c>
      <c r="K72" s="62">
        <f t="shared" si="15"/>
        <v>5510</v>
      </c>
      <c r="L72" s="43"/>
    </row>
    <row r="73" spans="1:12">
      <c r="A73" s="52"/>
      <c r="B73" s="1" t="s">
        <v>10</v>
      </c>
      <c r="C73" s="56">
        <v>114553</v>
      </c>
      <c r="D73" s="51">
        <v>114553</v>
      </c>
      <c r="E73" s="57">
        <v>-353</v>
      </c>
      <c r="F73" s="56">
        <v>0</v>
      </c>
      <c r="G73" s="51">
        <v>0</v>
      </c>
      <c r="H73" s="56">
        <v>0</v>
      </c>
      <c r="I73" s="58">
        <v>0</v>
      </c>
      <c r="J73" s="59">
        <f>4137-2955</f>
        <v>1182</v>
      </c>
      <c r="K73" s="62">
        <f t="shared" si="15"/>
        <v>115382</v>
      </c>
      <c r="L73" s="43"/>
    </row>
    <row r="74" spans="1:12">
      <c r="A74" s="52"/>
      <c r="B74" s="25" t="s">
        <v>106</v>
      </c>
      <c r="C74" s="56">
        <v>10930</v>
      </c>
      <c r="D74" s="51">
        <v>10930</v>
      </c>
      <c r="E74" s="57">
        <v>-34</v>
      </c>
      <c r="F74" s="56">
        <v>0</v>
      </c>
      <c r="G74" s="51">
        <v>0</v>
      </c>
      <c r="H74" s="56">
        <v>0</v>
      </c>
      <c r="I74" s="58">
        <v>-2000</v>
      </c>
      <c r="J74" s="59">
        <v>0</v>
      </c>
      <c r="K74" s="62">
        <f t="shared" si="15"/>
        <v>8896</v>
      </c>
      <c r="L74" s="43"/>
    </row>
    <row r="75" spans="1:12">
      <c r="A75" s="52"/>
      <c r="B75" s="25" t="s">
        <v>107</v>
      </c>
      <c r="C75" s="56">
        <v>12671</v>
      </c>
      <c r="D75" s="51">
        <v>12671</v>
      </c>
      <c r="E75" s="57">
        <v>-39</v>
      </c>
      <c r="F75" s="56">
        <v>0</v>
      </c>
      <c r="G75" s="51">
        <v>0</v>
      </c>
      <c r="H75" s="56">
        <v>0</v>
      </c>
      <c r="I75" s="58">
        <v>0</v>
      </c>
      <c r="J75" s="59">
        <f>-2525</f>
        <v>-2525</v>
      </c>
      <c r="K75" s="62">
        <f t="shared" si="15"/>
        <v>10107</v>
      </c>
      <c r="L75" s="43"/>
    </row>
    <row r="76" spans="1:12">
      <c r="A76" s="52"/>
      <c r="B76" s="25" t="s">
        <v>108</v>
      </c>
      <c r="C76" s="56">
        <v>12223</v>
      </c>
      <c r="D76" s="51">
        <v>12223</v>
      </c>
      <c r="E76" s="57">
        <v>-38</v>
      </c>
      <c r="F76" s="56">
        <v>0</v>
      </c>
      <c r="G76" s="51">
        <v>12000</v>
      </c>
      <c r="H76" s="56">
        <v>0</v>
      </c>
      <c r="I76" s="58">
        <v>-12000</v>
      </c>
      <c r="J76" s="59">
        <v>0</v>
      </c>
      <c r="K76" s="62">
        <f t="shared" si="15"/>
        <v>12185</v>
      </c>
      <c r="L76" s="43"/>
    </row>
    <row r="77" spans="1:12">
      <c r="A77" s="52"/>
      <c r="B77" s="1" t="s">
        <v>11</v>
      </c>
      <c r="C77" s="56">
        <v>59950</v>
      </c>
      <c r="D77" s="51">
        <v>59650</v>
      </c>
      <c r="E77" s="57">
        <v>-184</v>
      </c>
      <c r="F77" s="56">
        <v>0</v>
      </c>
      <c r="G77" s="51">
        <v>19500</v>
      </c>
      <c r="H77" s="56">
        <v>0</v>
      </c>
      <c r="I77" s="58">
        <v>156566</v>
      </c>
      <c r="J77" s="59">
        <f>500+2267+4454-2226</f>
        <v>4995</v>
      </c>
      <c r="K77" s="62">
        <f t="shared" si="15"/>
        <v>240527</v>
      </c>
      <c r="L77" s="43"/>
    </row>
    <row r="78" spans="1:12">
      <c r="A78" s="52"/>
      <c r="B78" s="1" t="s">
        <v>12</v>
      </c>
      <c r="C78" s="56">
        <v>973</v>
      </c>
      <c r="D78" s="51">
        <v>973</v>
      </c>
      <c r="E78" s="57">
        <v>-3</v>
      </c>
      <c r="F78" s="56">
        <v>0</v>
      </c>
      <c r="G78" s="51">
        <v>0</v>
      </c>
      <c r="H78" s="56">
        <v>0</v>
      </c>
      <c r="I78" s="58">
        <v>0</v>
      </c>
      <c r="J78" s="59">
        <v>-193</v>
      </c>
      <c r="K78" s="62">
        <f t="shared" si="15"/>
        <v>777</v>
      </c>
      <c r="L78" s="43"/>
    </row>
    <row r="79" spans="1:12">
      <c r="A79" s="52"/>
      <c r="B79" s="1" t="s">
        <v>13</v>
      </c>
      <c r="C79" s="56">
        <v>5236</v>
      </c>
      <c r="D79" s="51">
        <v>0</v>
      </c>
      <c r="E79" s="57">
        <v>0</v>
      </c>
      <c r="F79" s="56">
        <v>0</v>
      </c>
      <c r="G79" s="51">
        <v>0</v>
      </c>
      <c r="H79" s="56">
        <v>0</v>
      </c>
      <c r="I79" s="58">
        <v>0</v>
      </c>
      <c r="J79" s="59">
        <v>0</v>
      </c>
      <c r="K79" s="62">
        <f t="shared" si="15"/>
        <v>0</v>
      </c>
      <c r="L79" s="43"/>
    </row>
    <row r="80" spans="1:12">
      <c r="A80" s="52"/>
      <c r="B80" s="1" t="s">
        <v>14</v>
      </c>
      <c r="C80" s="56">
        <v>1463</v>
      </c>
      <c r="D80" s="51">
        <v>1463</v>
      </c>
      <c r="E80" s="57">
        <v>-5</v>
      </c>
      <c r="F80" s="56">
        <v>0</v>
      </c>
      <c r="G80" s="51">
        <v>0</v>
      </c>
      <c r="H80" s="56">
        <v>0</v>
      </c>
      <c r="I80" s="58">
        <v>1000</v>
      </c>
      <c r="J80" s="59">
        <v>0</v>
      </c>
      <c r="K80" s="62">
        <f t="shared" si="15"/>
        <v>2458</v>
      </c>
      <c r="L80" s="43"/>
    </row>
    <row r="81" spans="1:12">
      <c r="A81" s="52"/>
      <c r="B81" s="1" t="s">
        <v>65</v>
      </c>
      <c r="C81" s="56">
        <v>61360</v>
      </c>
      <c r="D81" s="51">
        <v>61360</v>
      </c>
      <c r="E81" s="57">
        <v>-189</v>
      </c>
      <c r="F81" s="56">
        <v>0</v>
      </c>
      <c r="G81" s="51">
        <v>47856</v>
      </c>
      <c r="H81" s="56">
        <v>0</v>
      </c>
      <c r="I81" s="58">
        <v>0</v>
      </c>
      <c r="J81" s="59">
        <v>-3473</v>
      </c>
      <c r="K81" s="62">
        <f t="shared" si="15"/>
        <v>105554</v>
      </c>
      <c r="L81" s="43"/>
    </row>
    <row r="82" spans="1:12">
      <c r="A82" s="52"/>
      <c r="B82" s="1" t="s">
        <v>66</v>
      </c>
      <c r="C82" s="56">
        <v>26791</v>
      </c>
      <c r="D82" s="51">
        <v>26791</v>
      </c>
      <c r="E82" s="57">
        <v>-83</v>
      </c>
      <c r="F82" s="56">
        <v>0</v>
      </c>
      <c r="G82" s="51">
        <v>17560</v>
      </c>
      <c r="H82" s="56">
        <v>0</v>
      </c>
      <c r="I82" s="58">
        <v>0</v>
      </c>
      <c r="J82" s="59">
        <f>-8853+1968</f>
        <v>-6885</v>
      </c>
      <c r="K82" s="62">
        <f t="shared" si="15"/>
        <v>37383</v>
      </c>
      <c r="L82" s="43"/>
    </row>
    <row r="83" spans="1:12">
      <c r="A83" s="52"/>
      <c r="B83" s="1" t="s">
        <v>67</v>
      </c>
      <c r="C83" s="56">
        <v>55080</v>
      </c>
      <c r="D83" s="51">
        <v>55080</v>
      </c>
      <c r="E83" s="57">
        <v>-170</v>
      </c>
      <c r="F83" s="56">
        <v>0</v>
      </c>
      <c r="G83" s="51">
        <v>2000</v>
      </c>
      <c r="H83" s="56">
        <v>0</v>
      </c>
      <c r="I83" s="58">
        <v>58</v>
      </c>
      <c r="J83" s="59">
        <f>2300-646+813</f>
        <v>2467</v>
      </c>
      <c r="K83" s="62">
        <f t="shared" si="15"/>
        <v>59435</v>
      </c>
      <c r="L83" s="43"/>
    </row>
    <row r="84" spans="1:12">
      <c r="A84" s="52"/>
      <c r="B84" s="1" t="s">
        <v>15</v>
      </c>
      <c r="C84" s="56">
        <v>72811</v>
      </c>
      <c r="D84" s="51">
        <v>72811</v>
      </c>
      <c r="E84" s="57">
        <v>-225</v>
      </c>
      <c r="F84" s="56">
        <v>0</v>
      </c>
      <c r="G84" s="51">
        <f>23260+3647</f>
        <v>26907</v>
      </c>
      <c r="H84" s="56">
        <v>0</v>
      </c>
      <c r="I84" s="58">
        <f>6910+15050</f>
        <v>21960</v>
      </c>
      <c r="J84" s="59">
        <f>0+2213+425+17152</f>
        <v>19790</v>
      </c>
      <c r="K84" s="62">
        <f t="shared" si="15"/>
        <v>141243</v>
      </c>
      <c r="L84" s="43"/>
    </row>
    <row r="85" spans="1:12">
      <c r="A85" s="52"/>
      <c r="B85" s="1" t="s">
        <v>16</v>
      </c>
      <c r="C85" s="56">
        <v>35235</v>
      </c>
      <c r="D85" s="51">
        <v>41635</v>
      </c>
      <c r="E85" s="57">
        <v>-128</v>
      </c>
      <c r="F85" s="56">
        <v>0</v>
      </c>
      <c r="G85" s="51">
        <f>3800+234</f>
        <v>4034</v>
      </c>
      <c r="H85" s="56">
        <v>0</v>
      </c>
      <c r="I85" s="58">
        <v>0</v>
      </c>
      <c r="J85" s="59">
        <f>-2405-1044+512+700</f>
        <v>-2237</v>
      </c>
      <c r="K85" s="62">
        <f t="shared" si="15"/>
        <v>43304</v>
      </c>
      <c r="L85" s="43"/>
    </row>
    <row r="86" spans="1:12">
      <c r="A86" s="52"/>
      <c r="B86" s="1" t="s">
        <v>17</v>
      </c>
      <c r="C86" s="56">
        <v>791</v>
      </c>
      <c r="D86" s="51">
        <v>791</v>
      </c>
      <c r="E86" s="57">
        <v>-2</v>
      </c>
      <c r="F86" s="56">
        <v>0</v>
      </c>
      <c r="G86" s="51">
        <v>0</v>
      </c>
      <c r="H86" s="56">
        <v>0</v>
      </c>
      <c r="I86" s="58">
        <v>0</v>
      </c>
      <c r="J86" s="59">
        <v>0</v>
      </c>
      <c r="K86" s="62">
        <f t="shared" si="15"/>
        <v>789</v>
      </c>
      <c r="L86" s="43"/>
    </row>
    <row r="87" spans="1:12">
      <c r="A87" s="52"/>
      <c r="B87" s="1" t="s">
        <v>18</v>
      </c>
      <c r="C87" s="56">
        <v>6156</v>
      </c>
      <c r="D87" s="51">
        <v>11156</v>
      </c>
      <c r="E87" s="57">
        <v>-34</v>
      </c>
      <c r="F87" s="56">
        <v>0</v>
      </c>
      <c r="G87" s="51">
        <v>0</v>
      </c>
      <c r="H87" s="56">
        <v>0</v>
      </c>
      <c r="I87" s="58">
        <v>1366</v>
      </c>
      <c r="J87" s="59">
        <v>0</v>
      </c>
      <c r="K87" s="62">
        <f t="shared" si="15"/>
        <v>12488</v>
      </c>
      <c r="L87" s="43"/>
    </row>
    <row r="88" spans="1:12">
      <c r="A88" s="52"/>
      <c r="B88" s="1" t="s">
        <v>19</v>
      </c>
      <c r="C88" s="56">
        <v>2010</v>
      </c>
      <c r="D88" s="51">
        <v>2010</v>
      </c>
      <c r="E88" s="57">
        <v>-6</v>
      </c>
      <c r="F88" s="56">
        <v>0</v>
      </c>
      <c r="G88" s="51">
        <v>0</v>
      </c>
      <c r="H88" s="56">
        <v>0</v>
      </c>
      <c r="I88" s="58">
        <v>0</v>
      </c>
      <c r="J88" s="59">
        <v>-400</v>
      </c>
      <c r="K88" s="62">
        <f t="shared" si="15"/>
        <v>1604</v>
      </c>
      <c r="L88" s="43"/>
    </row>
    <row r="89" spans="1:12">
      <c r="A89" s="52"/>
      <c r="B89" s="1" t="s">
        <v>20</v>
      </c>
      <c r="C89" s="56">
        <v>18821</v>
      </c>
      <c r="D89" s="51">
        <v>19421</v>
      </c>
      <c r="E89" s="57">
        <v>-60</v>
      </c>
      <c r="F89" s="56">
        <v>0</v>
      </c>
      <c r="G89" s="51">
        <f>6865+24853</f>
        <v>31718</v>
      </c>
      <c r="H89" s="56">
        <v>0</v>
      </c>
      <c r="I89" s="58">
        <f>67000+100000+140000</f>
        <v>307000</v>
      </c>
      <c r="J89" s="59">
        <f>8853+144437+3225-140000-20049</f>
        <v>-3534</v>
      </c>
      <c r="K89" s="62">
        <f t="shared" si="15"/>
        <v>354545</v>
      </c>
      <c r="L89" s="43"/>
    </row>
    <row r="90" spans="1:12">
      <c r="A90" s="52"/>
      <c r="B90" s="1" t="s">
        <v>68</v>
      </c>
      <c r="C90" s="56">
        <v>17265</v>
      </c>
      <c r="D90" s="51">
        <v>20865</v>
      </c>
      <c r="E90" s="57">
        <v>-64</v>
      </c>
      <c r="F90" s="56">
        <v>0</v>
      </c>
      <c r="G90" s="51">
        <v>0</v>
      </c>
      <c r="H90" s="56">
        <v>0</v>
      </c>
      <c r="I90" s="58">
        <v>0</v>
      </c>
      <c r="J90" s="59">
        <f>-200+200-159+1800</f>
        <v>1641</v>
      </c>
      <c r="K90" s="62">
        <f t="shared" si="15"/>
        <v>22442</v>
      </c>
      <c r="L90" s="43"/>
    </row>
    <row r="91" spans="1:12">
      <c r="A91" s="52"/>
      <c r="B91" s="1" t="s">
        <v>69</v>
      </c>
      <c r="C91" s="56">
        <v>20000</v>
      </c>
      <c r="D91" s="51">
        <v>20000</v>
      </c>
      <c r="E91" s="57">
        <v>-62</v>
      </c>
      <c r="F91" s="56">
        <v>0</v>
      </c>
      <c r="G91" s="51">
        <v>0</v>
      </c>
      <c r="H91" s="56">
        <v>0</v>
      </c>
      <c r="I91" s="58">
        <v>3300</v>
      </c>
      <c r="J91" s="59">
        <f>3455</f>
        <v>3455</v>
      </c>
      <c r="K91" s="62">
        <f t="shared" si="15"/>
        <v>26693</v>
      </c>
      <c r="L91" s="43"/>
    </row>
    <row r="92" spans="1:12">
      <c r="A92" s="52"/>
      <c r="B92" s="1" t="s">
        <v>21</v>
      </c>
      <c r="C92" s="56">
        <v>6835</v>
      </c>
      <c r="D92" s="51">
        <v>6835</v>
      </c>
      <c r="E92" s="57">
        <v>-21</v>
      </c>
      <c r="F92" s="56">
        <v>0</v>
      </c>
      <c r="G92" s="51">
        <v>0</v>
      </c>
      <c r="H92" s="56">
        <v>0</v>
      </c>
      <c r="I92" s="58">
        <v>0</v>
      </c>
      <c r="J92" s="59">
        <f>-363-225+110</f>
        <v>-478</v>
      </c>
      <c r="K92" s="62">
        <f t="shared" si="15"/>
        <v>6336</v>
      </c>
      <c r="L92" s="43"/>
    </row>
    <row r="93" spans="1:12">
      <c r="A93" s="52"/>
      <c r="B93" s="1" t="s">
        <v>92</v>
      </c>
      <c r="C93" s="56">
        <v>60836</v>
      </c>
      <c r="D93" s="51">
        <v>55136</v>
      </c>
      <c r="E93" s="57">
        <v>-170</v>
      </c>
      <c r="F93" s="56">
        <v>0</v>
      </c>
      <c r="G93" s="51">
        <v>0</v>
      </c>
      <c r="H93" s="56">
        <v>0</v>
      </c>
      <c r="I93" s="58">
        <v>1350</v>
      </c>
      <c r="J93" s="59">
        <f>-6332+900</f>
        <v>-5432</v>
      </c>
      <c r="K93" s="62">
        <f t="shared" si="15"/>
        <v>50884</v>
      </c>
      <c r="L93" s="43"/>
    </row>
    <row r="94" spans="1:12">
      <c r="A94" s="52"/>
      <c r="B94" s="25" t="s">
        <v>93</v>
      </c>
      <c r="C94" s="56">
        <v>12401</v>
      </c>
      <c r="D94" s="51">
        <v>12401</v>
      </c>
      <c r="E94" s="57">
        <v>-38</v>
      </c>
      <c r="F94" s="56">
        <v>0</v>
      </c>
      <c r="G94" s="51">
        <v>0</v>
      </c>
      <c r="H94" s="56">
        <v>0</v>
      </c>
      <c r="I94" s="58">
        <v>0</v>
      </c>
      <c r="J94" s="59">
        <v>-1850</v>
      </c>
      <c r="K94" s="62">
        <f t="shared" si="15"/>
        <v>10513</v>
      </c>
      <c r="L94" s="43"/>
    </row>
    <row r="95" spans="1:12">
      <c r="A95" s="52"/>
      <c r="B95" s="25" t="s">
        <v>95</v>
      </c>
      <c r="C95" s="56">
        <v>26070</v>
      </c>
      <c r="D95" s="51">
        <v>26070</v>
      </c>
      <c r="E95" s="57">
        <v>-80</v>
      </c>
      <c r="F95" s="56">
        <v>0</v>
      </c>
      <c r="G95" s="51">
        <v>11000</v>
      </c>
      <c r="H95" s="56">
        <v>0</v>
      </c>
      <c r="I95" s="58">
        <v>0</v>
      </c>
      <c r="J95" s="59">
        <f>4999+1600+429+2378</f>
        <v>9406</v>
      </c>
      <c r="K95" s="62">
        <f t="shared" si="15"/>
        <v>46396</v>
      </c>
      <c r="L95" s="43"/>
    </row>
    <row r="96" spans="1:12">
      <c r="A96" s="52"/>
      <c r="B96" s="25" t="s">
        <v>94</v>
      </c>
      <c r="C96" s="56">
        <v>550</v>
      </c>
      <c r="D96" s="51">
        <v>550</v>
      </c>
      <c r="E96" s="57">
        <v>-2</v>
      </c>
      <c r="F96" s="56">
        <v>0</v>
      </c>
      <c r="G96" s="51">
        <v>0</v>
      </c>
      <c r="H96" s="56">
        <v>0</v>
      </c>
      <c r="I96" s="58">
        <v>0</v>
      </c>
      <c r="J96" s="59">
        <v>0</v>
      </c>
      <c r="K96" s="62">
        <f t="shared" si="15"/>
        <v>548</v>
      </c>
      <c r="L96" s="43"/>
    </row>
    <row r="97" spans="1:13">
      <c r="A97" s="52"/>
      <c r="B97" s="25" t="s">
        <v>96</v>
      </c>
      <c r="C97" s="56">
        <v>33741</v>
      </c>
      <c r="D97" s="51">
        <v>39341</v>
      </c>
      <c r="E97" s="57">
        <v>-121</v>
      </c>
      <c r="F97" s="56">
        <v>0</v>
      </c>
      <c r="G97" s="51">
        <v>0</v>
      </c>
      <c r="H97" s="56">
        <v>0</v>
      </c>
      <c r="I97" s="58">
        <v>0</v>
      </c>
      <c r="J97" s="59">
        <f>-2388-1651+457</f>
        <v>-3582</v>
      </c>
      <c r="K97" s="62">
        <f t="shared" si="15"/>
        <v>35638</v>
      </c>
      <c r="L97" s="43"/>
    </row>
    <row r="98" spans="1:13">
      <c r="A98" s="52"/>
      <c r="B98" s="25" t="s">
        <v>97</v>
      </c>
      <c r="C98" s="56">
        <v>53034</v>
      </c>
      <c r="D98" s="51">
        <v>57034</v>
      </c>
      <c r="E98" s="57">
        <v>-176</v>
      </c>
      <c r="F98" s="56">
        <v>0</v>
      </c>
      <c r="G98" s="51">
        <v>5448</v>
      </c>
      <c r="H98" s="56">
        <v>0</v>
      </c>
      <c r="I98" s="58">
        <v>2400</v>
      </c>
      <c r="J98" s="59">
        <f>-9999+3000-214</f>
        <v>-7213</v>
      </c>
      <c r="K98" s="62">
        <f t="shared" si="15"/>
        <v>57493</v>
      </c>
      <c r="L98" s="43"/>
    </row>
    <row r="99" spans="1:13">
      <c r="A99" s="52"/>
      <c r="B99" s="25" t="s">
        <v>22</v>
      </c>
      <c r="C99" s="56">
        <v>2777</v>
      </c>
      <c r="D99" s="51">
        <v>2777</v>
      </c>
      <c r="E99" s="57">
        <v>-9</v>
      </c>
      <c r="F99" s="56">
        <v>0</v>
      </c>
      <c r="G99" s="51">
        <v>0</v>
      </c>
      <c r="H99" s="56">
        <v>0</v>
      </c>
      <c r="I99" s="58">
        <v>0</v>
      </c>
      <c r="J99" s="59">
        <v>0</v>
      </c>
      <c r="K99" s="62">
        <f t="shared" si="15"/>
        <v>2768</v>
      </c>
      <c r="L99" s="43"/>
    </row>
    <row r="100" spans="1:13">
      <c r="A100" s="52"/>
      <c r="B100" s="25" t="s">
        <v>23</v>
      </c>
      <c r="C100" s="56">
        <v>7576</v>
      </c>
      <c r="D100" s="51">
        <v>9176</v>
      </c>
      <c r="E100" s="57">
        <v>-28</v>
      </c>
      <c r="F100" s="56">
        <v>0</v>
      </c>
      <c r="G100" s="51">
        <v>153</v>
      </c>
      <c r="H100" s="56">
        <v>0</v>
      </c>
      <c r="I100" s="58">
        <v>410</v>
      </c>
      <c r="J100" s="59">
        <f>-153-10</f>
        <v>-163</v>
      </c>
      <c r="K100" s="62">
        <f t="shared" si="15"/>
        <v>9548</v>
      </c>
      <c r="L100" s="43"/>
    </row>
    <row r="101" spans="1:13">
      <c r="A101" s="52"/>
      <c r="B101" s="25" t="s">
        <v>85</v>
      </c>
      <c r="C101" s="56">
        <v>273998</v>
      </c>
      <c r="D101" s="51">
        <v>286498</v>
      </c>
      <c r="E101" s="57">
        <v>-886</v>
      </c>
      <c r="F101" s="56">
        <v>0</v>
      </c>
      <c r="G101" s="51">
        <f>11900+260</f>
        <v>12160</v>
      </c>
      <c r="H101" s="56">
        <v>0</v>
      </c>
      <c r="I101" s="58">
        <f>429+13840</f>
        <v>14269</v>
      </c>
      <c r="J101" s="59">
        <f>4942+671+911+2345</f>
        <v>8869</v>
      </c>
      <c r="K101" s="62">
        <f t="shared" si="15"/>
        <v>320910</v>
      </c>
      <c r="L101" s="43"/>
    </row>
    <row r="102" spans="1:13">
      <c r="A102" s="52"/>
      <c r="B102" s="25" t="s">
        <v>24</v>
      </c>
      <c r="C102" s="56">
        <v>43081</v>
      </c>
      <c r="D102" s="51">
        <v>43081</v>
      </c>
      <c r="E102" s="57">
        <v>-133</v>
      </c>
      <c r="F102" s="56">
        <v>0</v>
      </c>
      <c r="G102" s="51">
        <v>0</v>
      </c>
      <c r="H102" s="56">
        <v>0</v>
      </c>
      <c r="I102" s="58">
        <v>0</v>
      </c>
      <c r="J102" s="59">
        <f>-8000-590</f>
        <v>-8590</v>
      </c>
      <c r="K102" s="62">
        <f t="shared" si="15"/>
        <v>34358</v>
      </c>
      <c r="L102" s="43"/>
    </row>
    <row r="103" spans="1:13" ht="13.5" thickBot="1">
      <c r="A103" s="52"/>
      <c r="B103" s="48" t="s">
        <v>83</v>
      </c>
      <c r="C103" s="56">
        <v>0</v>
      </c>
      <c r="D103" s="51">
        <v>0</v>
      </c>
      <c r="E103" s="57">
        <v>0</v>
      </c>
      <c r="F103" s="56">
        <v>0</v>
      </c>
      <c r="G103" s="51">
        <v>0</v>
      </c>
      <c r="H103" s="56">
        <v>0</v>
      </c>
      <c r="I103" s="58">
        <v>3080</v>
      </c>
      <c r="J103" s="59">
        <v>0</v>
      </c>
      <c r="K103" s="62">
        <f t="shared" si="15"/>
        <v>3080</v>
      </c>
      <c r="L103" s="43"/>
    </row>
    <row r="104" spans="1:13" s="4" customFormat="1" ht="13.5" thickBot="1">
      <c r="A104" s="67"/>
      <c r="B104" s="33" t="s">
        <v>101</v>
      </c>
      <c r="C104" s="34">
        <f>SUM(C67:C103)</f>
        <v>1591202</v>
      </c>
      <c r="D104" s="34">
        <f t="shared" ref="D104:K104" si="16">SUM(D67:D103)</f>
        <v>1564166</v>
      </c>
      <c r="E104" s="34">
        <f t="shared" si="16"/>
        <v>-4826</v>
      </c>
      <c r="F104" s="34">
        <f t="shared" si="16"/>
        <v>0</v>
      </c>
      <c r="G104" s="34">
        <f t="shared" si="16"/>
        <v>226436</v>
      </c>
      <c r="H104" s="34">
        <f t="shared" si="16"/>
        <v>0</v>
      </c>
      <c r="I104" s="34">
        <f t="shared" si="16"/>
        <v>475904</v>
      </c>
      <c r="J104" s="34">
        <f t="shared" si="16"/>
        <v>0</v>
      </c>
      <c r="K104" s="34">
        <f t="shared" si="16"/>
        <v>2261680</v>
      </c>
      <c r="L104" s="43"/>
      <c r="M104" s="3"/>
    </row>
    <row r="105" spans="1:13">
      <c r="A105" s="68"/>
      <c r="B105" s="9"/>
      <c r="C105" s="56"/>
      <c r="D105" s="51"/>
      <c r="E105" s="57"/>
      <c r="F105" s="56"/>
      <c r="G105" s="57"/>
      <c r="H105" s="56"/>
      <c r="I105" s="58"/>
      <c r="J105" s="59"/>
      <c r="K105" s="51"/>
    </row>
    <row r="106" spans="1:13">
      <c r="A106" s="68" t="s">
        <v>79</v>
      </c>
      <c r="B106" s="1" t="s">
        <v>25</v>
      </c>
      <c r="C106" s="56">
        <v>65590</v>
      </c>
      <c r="D106" s="51">
        <v>65590</v>
      </c>
      <c r="E106" s="57">
        <v>-202</v>
      </c>
      <c r="F106" s="56">
        <v>0</v>
      </c>
      <c r="G106" s="51">
        <v>0</v>
      </c>
      <c r="H106" s="56">
        <v>0</v>
      </c>
      <c r="I106" s="58">
        <v>0</v>
      </c>
      <c r="J106" s="59">
        <v>1300</v>
      </c>
      <c r="K106" s="51">
        <f t="shared" ref="K106:K111" si="17">SUM(D106:J106)</f>
        <v>66688</v>
      </c>
    </row>
    <row r="107" spans="1:13">
      <c r="A107" s="68"/>
      <c r="B107" s="1" t="s">
        <v>26</v>
      </c>
      <c r="C107" s="56">
        <v>92004</v>
      </c>
      <c r="D107" s="51">
        <v>92004</v>
      </c>
      <c r="E107" s="57">
        <v>-284</v>
      </c>
      <c r="F107" s="56">
        <v>0</v>
      </c>
      <c r="G107" s="51">
        <v>0</v>
      </c>
      <c r="H107" s="56">
        <v>0</v>
      </c>
      <c r="I107" s="58">
        <v>0</v>
      </c>
      <c r="J107" s="59">
        <f>6000+4079</f>
        <v>10079</v>
      </c>
      <c r="K107" s="51">
        <f t="shared" si="17"/>
        <v>101799</v>
      </c>
    </row>
    <row r="108" spans="1:13">
      <c r="A108" s="68"/>
      <c r="B108" s="1" t="s">
        <v>27</v>
      </c>
      <c r="C108" s="56">
        <v>22008</v>
      </c>
      <c r="D108" s="51">
        <v>26488</v>
      </c>
      <c r="E108" s="57">
        <v>-82</v>
      </c>
      <c r="F108" s="56">
        <v>0</v>
      </c>
      <c r="G108" s="51">
        <v>0</v>
      </c>
      <c r="H108" s="56">
        <v>0</v>
      </c>
      <c r="I108" s="58">
        <v>0</v>
      </c>
      <c r="J108" s="59">
        <v>2100</v>
      </c>
      <c r="K108" s="51">
        <f t="shared" si="17"/>
        <v>28506</v>
      </c>
    </row>
    <row r="109" spans="1:13">
      <c r="A109" s="68"/>
      <c r="B109" s="1" t="s">
        <v>28</v>
      </c>
      <c r="C109" s="56">
        <v>12740</v>
      </c>
      <c r="D109" s="51">
        <v>12740</v>
      </c>
      <c r="E109" s="57">
        <v>-39</v>
      </c>
      <c r="F109" s="56">
        <v>0</v>
      </c>
      <c r="G109" s="51">
        <v>0</v>
      </c>
      <c r="H109" s="56">
        <v>0</v>
      </c>
      <c r="I109" s="58">
        <v>0</v>
      </c>
      <c r="J109" s="59">
        <v>0</v>
      </c>
      <c r="K109" s="51">
        <f t="shared" si="17"/>
        <v>12701</v>
      </c>
    </row>
    <row r="110" spans="1:13">
      <c r="A110" s="68"/>
      <c r="B110" s="1" t="s">
        <v>86</v>
      </c>
      <c r="C110" s="56">
        <v>27938</v>
      </c>
      <c r="D110" s="51">
        <v>32938</v>
      </c>
      <c r="E110" s="57">
        <v>-102</v>
      </c>
      <c r="F110" s="56">
        <v>0</v>
      </c>
      <c r="G110" s="51">
        <v>0</v>
      </c>
      <c r="H110" s="56">
        <v>0</v>
      </c>
      <c r="I110" s="58">
        <v>0</v>
      </c>
      <c r="J110" s="59">
        <v>-1100</v>
      </c>
      <c r="K110" s="51">
        <f t="shared" si="17"/>
        <v>31736</v>
      </c>
    </row>
    <row r="111" spans="1:13" ht="13.5" thickBot="1">
      <c r="A111" s="68"/>
      <c r="B111" s="1" t="s">
        <v>29</v>
      </c>
      <c r="C111" s="56">
        <v>151765</v>
      </c>
      <c r="D111" s="51">
        <v>127115</v>
      </c>
      <c r="E111" s="57">
        <v>-392</v>
      </c>
      <c r="F111" s="56">
        <v>0</v>
      </c>
      <c r="G111" s="51">
        <v>0</v>
      </c>
      <c r="H111" s="56">
        <v>0</v>
      </c>
      <c r="I111" s="58">
        <v>0</v>
      </c>
      <c r="J111" s="59">
        <f>-9400-2979</f>
        <v>-12379</v>
      </c>
      <c r="K111" s="51">
        <f t="shared" si="17"/>
        <v>114344</v>
      </c>
    </row>
    <row r="112" spans="1:13" s="4" customFormat="1" ht="13.5" thickBot="1">
      <c r="A112" s="67"/>
      <c r="B112" s="33" t="s">
        <v>102</v>
      </c>
      <c r="C112" s="34">
        <f>SUM(C106:C111)</f>
        <v>372045</v>
      </c>
      <c r="D112" s="34">
        <v>356875</v>
      </c>
      <c r="E112" s="34">
        <v>-1101</v>
      </c>
      <c r="F112" s="34">
        <v>0</v>
      </c>
      <c r="G112" s="34">
        <v>0</v>
      </c>
      <c r="H112" s="34">
        <v>0</v>
      </c>
      <c r="I112" s="34">
        <v>0</v>
      </c>
      <c r="J112" s="34">
        <f>SUM(J106:J111)</f>
        <v>0</v>
      </c>
      <c r="K112" s="34">
        <v>355774</v>
      </c>
    </row>
    <row r="113" spans="1:11" ht="13.5" thickBot="1">
      <c r="A113" s="69"/>
      <c r="B113" s="10"/>
      <c r="C113" s="56"/>
      <c r="D113" s="46"/>
      <c r="E113" s="48"/>
      <c r="F113" s="54"/>
      <c r="G113" s="48"/>
      <c r="H113" s="54"/>
      <c r="I113" s="49"/>
      <c r="J113" s="55"/>
      <c r="K113" s="51"/>
    </row>
    <row r="114" spans="1:11" s="29" customFormat="1" ht="13.5" thickBot="1">
      <c r="A114" s="70" t="s">
        <v>30</v>
      </c>
      <c r="B114" s="35" t="s">
        <v>70</v>
      </c>
      <c r="C114" s="34">
        <v>828352</v>
      </c>
      <c r="D114" s="34">
        <v>884978</v>
      </c>
      <c r="E114" s="36">
        <v>-2729</v>
      </c>
      <c r="F114" s="34">
        <v>0</v>
      </c>
      <c r="G114" s="36">
        <f>307680+105029</f>
        <v>412709</v>
      </c>
      <c r="H114" s="34">
        <v>0</v>
      </c>
      <c r="I114" s="36">
        <f>22500+82221-11600+2800+6400+13800</f>
        <v>116121</v>
      </c>
      <c r="J114" s="34">
        <v>0</v>
      </c>
      <c r="K114" s="37">
        <f>SUM(D114:J114)</f>
        <v>1411079</v>
      </c>
    </row>
    <row r="115" spans="1:11" s="72" customFormat="1" ht="13.5" thickBot="1">
      <c r="A115" s="71"/>
      <c r="B115" s="28"/>
      <c r="C115" s="59"/>
      <c r="D115" s="62"/>
      <c r="E115" s="58"/>
      <c r="F115" s="59"/>
      <c r="G115" s="58"/>
      <c r="H115" s="59"/>
      <c r="I115" s="58"/>
      <c r="J115" s="59"/>
      <c r="K115" s="23"/>
    </row>
    <row r="116" spans="1:11" s="3" customFormat="1" ht="13.5" thickBot="1">
      <c r="A116" s="11" t="s">
        <v>81</v>
      </c>
      <c r="B116" s="8" t="s">
        <v>41</v>
      </c>
      <c r="C116" s="34">
        <f>SUM(C65+C104+C112+C114)</f>
        <v>3984352</v>
      </c>
      <c r="D116" s="34">
        <f t="shared" ref="D116:J116" si="18">SUM(D65+D104+D112+D114)</f>
        <v>4050537</v>
      </c>
      <c r="E116" s="34">
        <f t="shared" si="18"/>
        <v>-12493</v>
      </c>
      <c r="F116" s="34">
        <f t="shared" si="18"/>
        <v>0</v>
      </c>
      <c r="G116" s="34">
        <f t="shared" si="18"/>
        <v>670680</v>
      </c>
      <c r="H116" s="34">
        <f t="shared" si="18"/>
        <v>0</v>
      </c>
      <c r="I116" s="34">
        <f t="shared" si="18"/>
        <v>759932</v>
      </c>
      <c r="J116" s="34">
        <f t="shared" si="18"/>
        <v>0</v>
      </c>
      <c r="K116" s="34">
        <f>SUM(K65+K104+K112+K114)-1</f>
        <v>5468655</v>
      </c>
    </row>
    <row r="117" spans="1:11" s="48" customFormat="1">
      <c r="A117" s="38"/>
      <c r="I117" s="49"/>
      <c r="J117" s="49"/>
      <c r="K117" s="57"/>
    </row>
    <row r="118" spans="1:11" s="48" customFormat="1">
      <c r="A118" s="38"/>
      <c r="I118" s="49"/>
      <c r="J118" s="49"/>
      <c r="K118" s="57"/>
    </row>
    <row r="119" spans="1:11" s="48" customFormat="1">
      <c r="A119" s="38"/>
      <c r="I119" s="49"/>
      <c r="J119" s="49"/>
      <c r="K119" s="57"/>
    </row>
    <row r="120" spans="1:11" s="48" customFormat="1">
      <c r="A120" s="38"/>
      <c r="I120" s="49"/>
      <c r="J120" s="49"/>
      <c r="K120" s="57"/>
    </row>
    <row r="121" spans="1:11" s="48" customFormat="1">
      <c r="A121" s="38"/>
      <c r="I121" s="49"/>
      <c r="J121" s="49"/>
      <c r="K121" s="57"/>
    </row>
    <row r="122" spans="1:11" s="48" customFormat="1">
      <c r="A122" s="38"/>
      <c r="I122" s="49"/>
      <c r="J122" s="49"/>
      <c r="K122" s="57"/>
    </row>
    <row r="123" spans="1:11" s="48" customFormat="1">
      <c r="A123" s="38"/>
      <c r="I123" s="49"/>
      <c r="J123" s="49"/>
      <c r="K123" s="57"/>
    </row>
    <row r="124" spans="1:11" s="48" customFormat="1">
      <c r="A124" s="38"/>
      <c r="I124" s="49"/>
      <c r="J124" s="49"/>
      <c r="K124" s="57"/>
    </row>
    <row r="125" spans="1:11" s="48" customFormat="1">
      <c r="A125" s="38"/>
      <c r="I125" s="49"/>
      <c r="J125" s="49"/>
      <c r="K125" s="57"/>
    </row>
    <row r="126" spans="1:11" s="48" customFormat="1">
      <c r="A126" s="38"/>
      <c r="I126" s="49"/>
      <c r="J126" s="49"/>
      <c r="K126" s="57"/>
    </row>
    <row r="127" spans="1:11" s="48" customFormat="1">
      <c r="A127" s="38"/>
      <c r="I127" s="49"/>
      <c r="J127" s="49"/>
      <c r="K127" s="57"/>
    </row>
    <row r="128" spans="1:11" s="48" customFormat="1">
      <c r="A128" s="38"/>
      <c r="I128" s="49"/>
      <c r="J128" s="49"/>
      <c r="K128" s="57"/>
    </row>
    <row r="129" spans="1:11" s="48" customFormat="1">
      <c r="A129" s="38"/>
      <c r="I129" s="49"/>
      <c r="J129" s="49"/>
      <c r="K129" s="57"/>
    </row>
  </sheetData>
  <pageMargins left="0.7" right="0.7" top="0.75" bottom="0.75" header="0.3" footer="0.3"/>
  <pageSetup scale="52" fitToHeight="2" orientation="landscape" r:id="rId1"/>
  <headerFooter>
    <oddHeader>&amp;CFY 2010/2012
PROCUREMENT, DEFENSE-WIDE
As of 31 December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DD 1416 As of 31 Dec 11-To OMB</vt:lpstr>
      <vt:lpstr>'DD 1416 As of 31 Dec 11-To OMB'!Print_Titles</vt:lpstr>
    </vt:vector>
  </TitlesOfParts>
  <Company>OUSD(C)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birks</dc:creator>
  <cp:lastModifiedBy>snyderb</cp:lastModifiedBy>
  <cp:lastPrinted>2012-01-29T18:25:13Z</cp:lastPrinted>
  <dcterms:created xsi:type="dcterms:W3CDTF">2006-09-27T18:13:40Z</dcterms:created>
  <dcterms:modified xsi:type="dcterms:W3CDTF">2012-01-31T14:26:04Z</dcterms:modified>
</cp:coreProperties>
</file>