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firstSheet="12" activeTab="14"/>
  </bookViews>
  <sheets>
    <sheet name="FY 09-11 DD 1416 Tracker-Total" sheetId="1" r:id="rId1"/>
    <sheet name="FY 09-11 DD 1416 Tracker-Class" sheetId="2" r:id="rId2"/>
    <sheet name="DD 1416 As of 30 Dec 08" sheetId="3" r:id="rId3"/>
    <sheet name="DD 1416 As of 30 Dec 08 To OMB" sheetId="4" r:id="rId4"/>
    <sheet name="DD 1416 As of 31 Mar 09" sheetId="5" r:id="rId5"/>
    <sheet name="DD 1416 As of 31 Mar 09 To OMB" sheetId="6" r:id="rId6"/>
    <sheet name="DD 1416 As of 30 Jun 09" sheetId="7" r:id="rId7"/>
    <sheet name="DD 1416 As of 30 Jun 09 To OMB" sheetId="8" r:id="rId8"/>
    <sheet name="DD 1416 As of 30 Sep 09 To OMB" sheetId="9" r:id="rId9"/>
    <sheet name="DD 1416 As of 31 Dec 09 To OMB" sheetId="10" r:id="rId10"/>
    <sheet name="DD 1416 As of 31 Mar 10 to OMB" sheetId="11" r:id="rId11"/>
    <sheet name="DD 1416 as of 30 Jun 10 to OMB" sheetId="12" r:id="rId12"/>
    <sheet name="DD 1416 as of 30 Sep 10 to OMB" sheetId="13" r:id="rId13"/>
    <sheet name="DD 1416 as of 31 Dec 10 to OMB" sheetId="14" r:id="rId14"/>
    <sheet name="DD 1416 as of 31 Mar 11 to OMB" sheetId="15" r:id="rId15"/>
  </sheets>
  <definedNames>
    <definedName name="_xlnm.Print_Titles" localSheetId="2">'DD 1416 As of 30 Dec 08'!$5:$5</definedName>
    <definedName name="_xlnm.Print_Titles" localSheetId="3">'DD 1416 As of 30 Dec 08 To OMB'!$5:$5</definedName>
    <definedName name="_xlnm.Print_Titles" localSheetId="6">'DD 1416 As of 30 Jun 09'!$1:$5</definedName>
    <definedName name="_xlnm.Print_Titles" localSheetId="7">'DD 1416 As of 30 Jun 09 To OMB'!$1:$5</definedName>
    <definedName name="_xlnm.Print_Titles" localSheetId="11">'DD 1416 as of 30 Jun 10 to OMB'!$5:$5</definedName>
    <definedName name="_xlnm.Print_Titles" localSheetId="8">'DD 1416 As of 30 Sep 09 To OMB'!$A:$A,'DD 1416 As of 30 Sep 09 To OMB'!$5:$5</definedName>
    <definedName name="_xlnm.Print_Titles" localSheetId="12">'DD 1416 as of 30 Sep 10 to OMB'!$5:$5</definedName>
    <definedName name="_xlnm.Print_Titles" localSheetId="9">'DD 1416 As of 31 Dec 09 To OMB'!$5:$5</definedName>
    <definedName name="_xlnm.Print_Titles" localSheetId="13">'DD 1416 as of 31 Dec 10 to OMB'!$5:$5</definedName>
    <definedName name="_xlnm.Print_Titles" localSheetId="10">'DD 1416 As of 31 Mar 10 to OMB'!$5:$5</definedName>
    <definedName name="_xlnm.Print_Titles" localSheetId="14">'DD 1416 as of 31 Mar 11 to OMB'!$5:$5</definedName>
  </definedNames>
  <calcPr fullCalcOnLoad="1"/>
</workbook>
</file>

<file path=xl/sharedStrings.xml><?xml version="1.0" encoding="utf-8"?>
<sst xmlns="http://schemas.openxmlformats.org/spreadsheetml/2006/main" count="2472" uniqueCount="289">
  <si>
    <t>APPN</t>
  </si>
  <si>
    <t>0300</t>
  </si>
  <si>
    <t>WHS</t>
  </si>
  <si>
    <t>OSD</t>
  </si>
  <si>
    <t>INFORMATION SYSTEMS SECURITY PROGRAM (ISSP)</t>
  </si>
  <si>
    <t>DISA</t>
  </si>
  <si>
    <t>INFORMATION SYSTEMS SECURITY</t>
  </si>
  <si>
    <t>GLOBAL COMBAT SUPPORT SYSTEM</t>
  </si>
  <si>
    <t>TELEPORT PROGRAM</t>
  </si>
  <si>
    <t>ITEMS LESS THAN $5 MILLION</t>
  </si>
  <si>
    <t>NET CENTRIC ENTERPRISE SERVICES (NCES)</t>
  </si>
  <si>
    <t>DLA</t>
  </si>
  <si>
    <t>MAJOR EQUIPMENT</t>
  </si>
  <si>
    <t>DCAA</t>
  </si>
  <si>
    <t>DHRA</t>
  </si>
  <si>
    <t>PERSONNEL ADMINISTRATION</t>
  </si>
  <si>
    <t>DTRA</t>
  </si>
  <si>
    <t>OTHER MAJOR EQUIPMENT</t>
  </si>
  <si>
    <t>DODEA</t>
  </si>
  <si>
    <t>DCMA</t>
  </si>
  <si>
    <t>BTA</t>
  </si>
  <si>
    <t>SOCOM</t>
  </si>
  <si>
    <t>ROTARY WING UPGRADES AND SUSTAINMENT</t>
  </si>
  <si>
    <t>MH-60 SOF MODERNIZATION PROGRAM</t>
  </si>
  <si>
    <t>CV-22 SOF MOD</t>
  </si>
  <si>
    <t>C-130 MODIFICATIONS</t>
  </si>
  <si>
    <t>AIRCRAFT SUPPORT</t>
  </si>
  <si>
    <t>ADVANCED SEAL DELIVERY SYSTEM (ASDS)</t>
  </si>
  <si>
    <t>MK8 MOD1 SEAL DELIVERY VEHICLE</t>
  </si>
  <si>
    <t>SOF INTELLIGENCE SYSTEMS</t>
  </si>
  <si>
    <t>01</t>
  </si>
  <si>
    <t>SMALL ARMS AND WEAPONS</t>
  </si>
  <si>
    <t>MARITIME EQUIPMENT MODIFICATIONS</t>
  </si>
  <si>
    <t>SOF COMBATANT CRAFT SYSTEMS</t>
  </si>
  <si>
    <t>SPARES AND REPAIR PARTS</t>
  </si>
  <si>
    <t>TACTICAL VEHICLES</t>
  </si>
  <si>
    <t>MILCON COLLATERAL EQUIPMENT</t>
  </si>
  <si>
    <t>UNMANNED VEHICLES</t>
  </si>
  <si>
    <t>SOF MARITIME EQUIPMENT</t>
  </si>
  <si>
    <t>MISCELLANEOUS EQUIPMENT</t>
  </si>
  <si>
    <t>PSYOP EQUIPMENT</t>
  </si>
  <si>
    <t>CBDP</t>
  </si>
  <si>
    <t>INSTALLATION FORCE PROTECTION</t>
  </si>
  <si>
    <t>INDIVIDUAL PROTECTION</t>
  </si>
  <si>
    <t>DECONTAMINATION</t>
  </si>
  <si>
    <t>JOINT BIOLOGICAL DEFENSE PROGRAM</t>
  </si>
  <si>
    <t>CONTAMINATION AVOIDANCE</t>
  </si>
  <si>
    <t>CLASSIFIED PROGRAMS</t>
  </si>
  <si>
    <t>TOTAL NSA</t>
  </si>
  <si>
    <t>TOTAL WHS</t>
  </si>
  <si>
    <t>President's Budget Request</t>
  </si>
  <si>
    <t>Appropriation</t>
  </si>
  <si>
    <t>Distribution of Congressional Adjustments</t>
  </si>
  <si>
    <t>Adjustments Required by Statute</t>
  </si>
  <si>
    <t>Supps/ Recissions</t>
  </si>
  <si>
    <t>Cancelled Account Adjustments</t>
  </si>
  <si>
    <t xml:space="preserve">Above Threshold Reprog </t>
  </si>
  <si>
    <t>Below Threshold Reprog</t>
  </si>
  <si>
    <t>Net Program</t>
  </si>
  <si>
    <t>TOTAL PROCUREMENT</t>
  </si>
  <si>
    <t>DEFENSE CONTRACT AUDIT AGENCY</t>
  </si>
  <si>
    <t>DEFENSE LOGISTICS AGENCY</t>
  </si>
  <si>
    <t>DEFENSE THREAT REDUCTION AGENCY</t>
  </si>
  <si>
    <t>OFFICE OF THE SECRETARY OF DEFENSE</t>
  </si>
  <si>
    <t>THE JOINT STAFF</t>
  </si>
  <si>
    <t>WASHINGTON HEADQUARTERS SERVICE</t>
  </si>
  <si>
    <t>TOTAL DTRA</t>
  </si>
  <si>
    <t>TOTAL DISA</t>
  </si>
  <si>
    <t>TOTAL PROCUREMENT - Control DO NOT PRINT</t>
  </si>
  <si>
    <t>Below</t>
  </si>
  <si>
    <t>NET</t>
  </si>
  <si>
    <t>Misplaced</t>
  </si>
  <si>
    <t>REVISED</t>
  </si>
  <si>
    <t>Section 8097</t>
  </si>
  <si>
    <t>Section 8104</t>
  </si>
  <si>
    <t>DD-1414</t>
  </si>
  <si>
    <t>Revised DD-1414</t>
  </si>
  <si>
    <t>Distribution</t>
  </si>
  <si>
    <t>Adjustments</t>
  </si>
  <si>
    <t>Conference</t>
  </si>
  <si>
    <t>Cancelled</t>
  </si>
  <si>
    <t>Threshold</t>
  </si>
  <si>
    <t>PROGRAM</t>
  </si>
  <si>
    <t>Budget</t>
  </si>
  <si>
    <t>Line item</t>
  </si>
  <si>
    <t>President's</t>
  </si>
  <si>
    <t>Congressional</t>
  </si>
  <si>
    <t>Contractor</t>
  </si>
  <si>
    <t>Economic</t>
  </si>
  <si>
    <t>Baseline -</t>
  </si>
  <si>
    <t>of Congressional</t>
  </si>
  <si>
    <t>Required by</t>
  </si>
  <si>
    <t>Supplemental /</t>
  </si>
  <si>
    <t>Revised Base</t>
  </si>
  <si>
    <t>Accounts</t>
  </si>
  <si>
    <t>Reprogramming</t>
  </si>
  <si>
    <t>Activity</t>
  </si>
  <si>
    <t>P-1</t>
  </si>
  <si>
    <t>Program Title</t>
  </si>
  <si>
    <t>Budget Request</t>
  </si>
  <si>
    <t>Action</t>
  </si>
  <si>
    <t>Adds</t>
  </si>
  <si>
    <t>BASELINE</t>
  </si>
  <si>
    <t>Efficiencies</t>
  </si>
  <si>
    <t>Assumptions</t>
  </si>
  <si>
    <t>TOTAL</t>
  </si>
  <si>
    <t>Appropriated</t>
  </si>
  <si>
    <t>Statute</t>
  </si>
  <si>
    <t>Recissions</t>
  </si>
  <si>
    <t>(Subtotal)</t>
  </si>
  <si>
    <t>Actions</t>
  </si>
  <si>
    <t>Agency</t>
  </si>
  <si>
    <t>AFIS/DMA</t>
  </si>
  <si>
    <t>TOTAL OSD</t>
  </si>
  <si>
    <t>08</t>
  </si>
  <si>
    <t>09</t>
  </si>
  <si>
    <t>MOTOR VEHICLES</t>
  </si>
  <si>
    <t>TOTAL DLA</t>
  </si>
  <si>
    <t>ITEM LESS THAN $5 MILLION</t>
  </si>
  <si>
    <t>TOTAL DCAA</t>
  </si>
  <si>
    <t>JOINT STAFF</t>
  </si>
  <si>
    <t>TOTAL JOINT STAFF</t>
  </si>
  <si>
    <t>TOTAL DHRA</t>
  </si>
  <si>
    <t>TOTAL AFIS/DMA</t>
  </si>
  <si>
    <t>AUTOMATION/EDUCATIONAL SUPPORT AND LOGISTICS</t>
  </si>
  <si>
    <t>TOTAL DODEA</t>
  </si>
  <si>
    <t>TOTAL DCMA</t>
  </si>
  <si>
    <t>TOTAL BTA</t>
  </si>
  <si>
    <t>02</t>
  </si>
  <si>
    <t>03</t>
  </si>
  <si>
    <t>05</t>
  </si>
  <si>
    <t>04</t>
  </si>
  <si>
    <t>MH-47 SERVIVE LIFE EXTENSION PROGRAM</t>
  </si>
  <si>
    <t>NON-STANDARD AVIATION</t>
  </si>
  <si>
    <t>SOF TANKER RECAPITALIZATION</t>
  </si>
  <si>
    <t>SOF ORDANCE REPLENISHMENT</t>
  </si>
  <si>
    <t>SOF ORDANCE ACQUISITION</t>
  </si>
  <si>
    <t>COMMUNCIATIONS EQUIPMENT AND ELECTRONICS</t>
  </si>
  <si>
    <t>SPECIAL APPLICATIONS FOR CONTINGENCES</t>
  </si>
  <si>
    <t>MISSION TRAINING AND PREPARATION SYSTEMS</t>
  </si>
  <si>
    <t>COMBAT MISSION REQUIREMENTS</t>
  </si>
  <si>
    <t>TOTAL SOCOM</t>
  </si>
  <si>
    <t>TOTAL CBDP</t>
  </si>
  <si>
    <t>DD-1002</t>
  </si>
  <si>
    <t>(F+G)</t>
  </si>
  <si>
    <t>(H+1)</t>
  </si>
  <si>
    <t>(J+L+M)</t>
  </si>
  <si>
    <t>(F)</t>
  </si>
  <si>
    <t>(J)</t>
  </si>
  <si>
    <t>(L+M)</t>
  </si>
  <si>
    <t>Adjustments)</t>
  </si>
  <si>
    <t>(Adjustments)</t>
  </si>
  <si>
    <t>(One Time-</t>
  </si>
  <si>
    <t>(Q+R+S+T)</t>
  </si>
  <si>
    <t>CURRENT</t>
  </si>
  <si>
    <t>FAD</t>
  </si>
  <si>
    <t>INVESTMENT</t>
  </si>
  <si>
    <t>(Issued FAD)</t>
  </si>
  <si>
    <t>Reprogrammed</t>
  </si>
  <si>
    <t>Revised</t>
  </si>
  <si>
    <t>GWOT</t>
  </si>
  <si>
    <t>Internal</t>
  </si>
  <si>
    <t>(U+V+W+Y+Z)</t>
  </si>
  <si>
    <t>DD-1002 Report/</t>
  </si>
  <si>
    <t>TOTAL CLASSIFIED PROGRAMS</t>
  </si>
  <si>
    <t>AGENCY</t>
  </si>
  <si>
    <t>PROGRAM TITLE</t>
  </si>
  <si>
    <t>DEFENSE INFORMATION AGENCY</t>
  </si>
  <si>
    <t>DEFENSE HUMAN RESOURCES ACTIVITY</t>
  </si>
  <si>
    <t>DEFENSE MEDIA AGENCY/AFIS</t>
  </si>
  <si>
    <t xml:space="preserve">DEPARTMENT OF DEFENSE DEPENDENTS EDUCATION </t>
  </si>
  <si>
    <t>DEFENSE CONTRACTING MANAGENT AGENCY</t>
  </si>
  <si>
    <t>BUSINESS TRANSFORMATION AGENCY</t>
  </si>
  <si>
    <t>CHEMICAL &amp; BIOLOGICAL DEFENSE PROGRAM</t>
  </si>
  <si>
    <t>U.S. SPECIAL OPERATIONS COMMAND</t>
  </si>
  <si>
    <t>TOTAL AGENCIES</t>
  </si>
  <si>
    <t>Unclassifed and Classified Reconcilation</t>
  </si>
  <si>
    <t>Classified Reconcilation</t>
  </si>
  <si>
    <t>TOTAL CLASSIFIED PROGRAM</t>
  </si>
  <si>
    <t>NATIONAL SECURITY INTELLIGENCE AGENCY</t>
  </si>
  <si>
    <t>+/- DIFF =</t>
  </si>
  <si>
    <t>Below Threshold</t>
  </si>
  <si>
    <t>Reprgramming</t>
  </si>
  <si>
    <t>--</t>
  </si>
  <si>
    <t>COUNTER DRUG SPT/ADNET</t>
  </si>
  <si>
    <t>COUNTER DRUG SUPPORT</t>
  </si>
  <si>
    <t>ok</t>
  </si>
  <si>
    <t>TOTAL PROCUREMENT CONTROLS</t>
  </si>
  <si>
    <t>+/- DIFFERENCE</t>
  </si>
  <si>
    <t>+/- Difference</t>
  </si>
  <si>
    <t>REPORT *</t>
  </si>
  <si>
    <t>UNALLOCATED</t>
  </si>
  <si>
    <t>APPROPRIATION UNALLOCATED</t>
  </si>
  <si>
    <t>REPORT*</t>
  </si>
  <si>
    <t>*Note - Current DD-1002 Report - March 2008</t>
  </si>
  <si>
    <t>Note - Balanced to March 1002 and MAC Report dated 04/24/08</t>
  </si>
  <si>
    <t>Balanced to March 1002 and MAC-04-25-08</t>
  </si>
  <si>
    <t>DEFENSE INFORMATION SYSTEM NETWORK (DISN)</t>
  </si>
  <si>
    <t>SOF OPERATIONAL ENHANCEMENTS</t>
  </si>
  <si>
    <t>COLLECTIVE PROTECTION</t>
  </si>
  <si>
    <t>Supplemental</t>
  </si>
  <si>
    <t>PL 110-116</t>
  </si>
  <si>
    <t>PL 110-252</t>
  </si>
  <si>
    <t>PUBLIC KEY INFRASTRUCTURE</t>
  </si>
  <si>
    <t>TOTAL DSCA</t>
  </si>
  <si>
    <t>DEFENSE SECURITY CORPORATION AGENCY</t>
  </si>
  <si>
    <t>Counter Drug Support</t>
  </si>
  <si>
    <t xml:space="preserve">FY 2009 PROCUREMENT REPORT TO CONGRESS </t>
  </si>
  <si>
    <t>FY 2009</t>
  </si>
  <si>
    <t>DTSA</t>
  </si>
  <si>
    <t>TOTAL DTSA</t>
  </si>
  <si>
    <t>Section 8101</t>
  </si>
  <si>
    <t>JOINT COMMAND AND CONTROL PROGRAM</t>
  </si>
  <si>
    <t>CYBER SECURITY INITIATIVE</t>
  </si>
  <si>
    <t>TOTAL BA 02</t>
  </si>
  <si>
    <t>TOTAL BA 01</t>
  </si>
  <si>
    <t>06</t>
  </si>
  <si>
    <t>TOTAL BA 03</t>
  </si>
  <si>
    <t>MDA</t>
  </si>
  <si>
    <t>SOF U-28</t>
  </si>
  <si>
    <t>SOF AUTOMATION SYSTEMS</t>
  </si>
  <si>
    <t>SOF GLOBAL VIDEO SURVEILLANCE ACTIVITIES</t>
  </si>
  <si>
    <t>SOF SOLDIER PROTECTION AND SURVIVAL SYSTEMS</t>
  </si>
  <si>
    <t>SOF OPERATIONAL EHANCEMENTS INTELLIGENCE</t>
  </si>
  <si>
    <t>SOF VISUAL AUGMENTATION LASERS AND SENSOR SYSTEMS</t>
  </si>
  <si>
    <t>SOF TACTICAL RADIO SYSTEMS</t>
  </si>
  <si>
    <t>AEGIS</t>
  </si>
  <si>
    <t>THAAD</t>
  </si>
  <si>
    <t>TOTAL MDA</t>
  </si>
  <si>
    <t>FY 09-03 IR</t>
  </si>
  <si>
    <t>Above Threshold</t>
  </si>
  <si>
    <t xml:space="preserve">*Note - Current DD-1002 Report </t>
  </si>
  <si>
    <t>TOTAL MAJOR EQUIPMENT - TOTAL BA 1</t>
  </si>
  <si>
    <t>TOTAL SPECIAL OPERATIONS COMMAND - TOTAL BA 2</t>
  </si>
  <si>
    <t>TOTAL CHEMICAL BIOLOGICAL DEFENSE - TOTAL BA 3</t>
  </si>
  <si>
    <t>MISSILE DEFENSE AGENCY</t>
  </si>
  <si>
    <t>TOTAL MISSILE DEFENSE AGENCY - TOTAL BA 4</t>
  </si>
  <si>
    <t xml:space="preserve">Includes </t>
  </si>
  <si>
    <t>Misplaced  Adds</t>
  </si>
  <si>
    <t>From DD1414</t>
  </si>
  <si>
    <t>Supplementals</t>
  </si>
  <si>
    <t>Difference Bwtn</t>
  </si>
  <si>
    <t>DD1002 and</t>
  </si>
  <si>
    <t>DFAS</t>
  </si>
  <si>
    <t>DD 1002</t>
  </si>
  <si>
    <t>Balanced to December 1002 and MAC 01/26/09</t>
  </si>
  <si>
    <t>TOTAL CLASSIFIED BA 02</t>
  </si>
  <si>
    <t>TOTAL CLASSIFIED BA 01</t>
  </si>
  <si>
    <t>GLOBAL COMMAND AND CONTROL SYSTEM</t>
  </si>
  <si>
    <t>FY 09-05 IR</t>
  </si>
  <si>
    <t>FY 09-011 IR</t>
  </si>
  <si>
    <t>FY 09-01-R PA</t>
  </si>
  <si>
    <t>FY 09-08 IR</t>
  </si>
  <si>
    <t>---</t>
  </si>
  <si>
    <t>MH-47 SERVICE LIFE EXTENSION PROGRAM</t>
  </si>
  <si>
    <t>Start Here At SOCOM</t>
  </si>
  <si>
    <t>NEED TO CHANGE TO BA 1</t>
  </si>
  <si>
    <t>FY 09-013 IR</t>
  </si>
  <si>
    <t>FY 09-016 IR</t>
  </si>
  <si>
    <t>FY 09-020 IR</t>
  </si>
  <si>
    <t/>
  </si>
  <si>
    <t>PL 111-032</t>
  </si>
  <si>
    <t>31</t>
  </si>
  <si>
    <t>Net Program-1002</t>
  </si>
  <si>
    <t>UNALLOCATED PROGRAMS</t>
  </si>
  <si>
    <t>TOTAL UNALLOCATED PROGRAMS</t>
  </si>
  <si>
    <t>UNALLOCATED TO CLASSIFIED AGENCIES</t>
  </si>
  <si>
    <t xml:space="preserve">Balanced to June 1002 - MAC reflects </t>
  </si>
  <si>
    <t>UNDISTRIBUTED PROGRAMS</t>
  </si>
  <si>
    <t>TOTAL UNDISTRIBUTED PROGRAMS</t>
  </si>
  <si>
    <t>Prior Approval</t>
  </si>
  <si>
    <t xml:space="preserve">FY 09-024 </t>
  </si>
  <si>
    <t xml:space="preserve">FY 09-026 </t>
  </si>
  <si>
    <t>FY 09-026</t>
  </si>
  <si>
    <t>FY 09-028</t>
  </si>
  <si>
    <t>FY 09-029</t>
  </si>
  <si>
    <t>FY 09</t>
  </si>
  <si>
    <t>Recission</t>
  </si>
  <si>
    <t>P.L. 111-118</t>
  </si>
  <si>
    <t>TOTAL MISSILE DEFENSE AGENCY - TOTAL BA 1</t>
  </si>
  <si>
    <t>FY 10-014</t>
  </si>
  <si>
    <t>FY 10-013</t>
  </si>
  <si>
    <t>SEP 10</t>
  </si>
  <si>
    <t>Note - Balanced to September 2010 DD-1002 and MAC Report Dated 09/30/10</t>
  </si>
  <si>
    <t>DD-1416 Reconciliation - Dollars In Millions - FY 2010 OCT 10-SEP 11</t>
  </si>
  <si>
    <t>TOTAL 1</t>
  </si>
  <si>
    <t>Classified</t>
  </si>
  <si>
    <t>TOTAL 3</t>
  </si>
  <si>
    <t>TOTAL 2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</si>
</sst>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\ #,##0\);&quot;-&quot;#,##0.0;\ &quot;-&quot;"/>
    <numFmt numFmtId="167" formatCode="\ #,##0;&quot;-&quot;#,##0.0;\ &quot;-&quot;"/>
    <numFmt numFmtId="168" formatCode="\ #,##0;&quot;-&quot;#,##0;\ &quot;-&quot;"/>
    <numFmt numFmtId="169" formatCode="_(* #,##0.000_);_(* \(#,##0.000\);_(* &quot;-&quot;??_);_(@_)"/>
    <numFmt numFmtId="170" formatCode="0.0"/>
    <numFmt numFmtId="171" formatCode="#,###.0;&quot;-&quot;#,###.0;&quot;-&quot;"/>
    <numFmt numFmtId="172" formatCode="&quot;+&quot;#,###.0;&quot;-&quot;#,###.0;&quot;-&quot;"/>
    <numFmt numFmtId="173" formatCode="&quot;+&quot;#,###.00;&quot;-&quot;#,###.00;&quot;-&quot;"/>
    <numFmt numFmtId="174" formatCode="&quot;+&quot;#,###.000;&quot;-&quot;#,###.000;&quot;-&quot;"/>
    <numFmt numFmtId="175" formatCode="#,###.00;&quot;-&quot;#,###.00;&quot;-&quot;"/>
    <numFmt numFmtId="176" formatCode="#,###.000;&quot;-&quot;#,###.000;&quot;-&quot;"/>
    <numFmt numFmtId="177" formatCode="0.000"/>
    <numFmt numFmtId="178" formatCode="#,###;&quot;-&quot;#,###;&quot;-&quot;"/>
    <numFmt numFmtId="179" formatCode="&quot;+&quot;#,###;&quot;-&quot;#,###;&quot;-&quot;"/>
    <numFmt numFmtId="180" formatCode="&quot;+&quot;#,###.0000;&quot;-&quot;#,###.0000;&quot;-&quot;"/>
    <numFmt numFmtId="181" formatCode="#,##0;\ &quot;-&quot;"/>
    <numFmt numFmtId="182" formatCode="&quot;-&quot;;\ #,##0"/>
    <numFmt numFmtId="183" formatCode="&quot; &quot;;\ #,##0"/>
    <numFmt numFmtId="184" formatCode="&quot; &quot;#,##0;&quot; &quot;"/>
    <numFmt numFmtId="185" formatCode="#,##0.000"/>
    <numFmt numFmtId="186" formatCode="#,###.0000;&quot;-&quot;#,###.0000;&quot;-&quot;"/>
    <numFmt numFmtId="187" formatCode="#,###;&quot;-&quot;#,###.000;&quot;-&quot;"/>
    <numFmt numFmtId="188" formatCode="0.0000"/>
    <numFmt numFmtId="189" formatCode="#,##0.0"/>
    <numFmt numFmtId="190" formatCode="#,###;&quot;-&quot;#,###;&quot; &quot;"/>
    <numFmt numFmtId="191" formatCode="&quot;+&quot;#,###;&quot;-&quot;#,###;&quot; &quot;"/>
    <numFmt numFmtId="192" formatCode="_(* #,##0.0_);_(* \(#,##0.0\);_(* &quot;-&quot;?_);_(@_)"/>
    <numFmt numFmtId="193" formatCode="#,##0.000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0"/>
      <color indexed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4"/>
      <name val="Courier New"/>
      <family val="3"/>
    </font>
    <font>
      <b/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12"/>
      <name val="Arial"/>
      <family val="2"/>
    </font>
    <font>
      <sz val="10"/>
      <color indexed="11"/>
      <name val="Arial"/>
      <family val="0"/>
    </font>
    <font>
      <b/>
      <sz val="10"/>
      <color indexed="11"/>
      <name val="Arial"/>
      <family val="0"/>
    </font>
    <font>
      <b/>
      <sz val="10"/>
      <color indexed="10"/>
      <name val="Times New Roman"/>
      <family val="1"/>
    </font>
    <font>
      <b/>
      <sz val="10"/>
      <color indexed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3" fontId="8" fillId="0" borderId="0" xfId="0" applyNumberFormat="1" applyFont="1" applyFill="1" applyAlignment="1" quotePrefix="1">
      <alignment horizontal="center" wrapText="1"/>
    </xf>
    <xf numFmtId="37" fontId="0" fillId="0" borderId="0" xfId="0" applyNumberFormat="1" applyAlignment="1">
      <alignment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/>
    </xf>
    <xf numFmtId="37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7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37" fontId="9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ill="1" applyAlignment="1">
      <alignment horizontal="left"/>
    </xf>
    <xf numFmtId="37" fontId="0" fillId="0" borderId="0" xfId="0" applyNumberFormat="1" applyFill="1" applyAlignment="1">
      <alignment/>
    </xf>
    <xf numFmtId="37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37" fontId="0" fillId="0" borderId="0" xfId="0" applyNumberFormat="1" applyFont="1" applyFill="1" applyAlignment="1">
      <alignment/>
    </xf>
    <xf numFmtId="3" fontId="0" fillId="0" borderId="10" xfId="0" applyNumberFormat="1" applyFont="1" applyBorder="1" applyAlignment="1">
      <alignment horizontal="left" vertical="top"/>
    </xf>
    <xf numFmtId="37" fontId="0" fillId="0" borderId="11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5" fontId="10" fillId="0" borderId="0" xfId="42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2" fillId="0" borderId="10" xfId="0" applyNumberFormat="1" applyFont="1" applyBorder="1" applyAlignment="1">
      <alignment horizontal="left" vertical="top"/>
    </xf>
    <xf numFmtId="3" fontId="0" fillId="0" borderId="10" xfId="0" applyNumberFormat="1" applyFont="1" applyBorder="1" applyAlignment="1">
      <alignment horizontal="left"/>
    </xf>
    <xf numFmtId="3" fontId="0" fillId="0" borderId="10" xfId="0" applyNumberFormat="1" applyFont="1" applyFill="1" applyBorder="1" applyAlignment="1">
      <alignment horizontal="left" vertical="top"/>
    </xf>
    <xf numFmtId="3" fontId="1" fillId="33" borderId="13" xfId="0" applyNumberFormat="1" applyFont="1" applyFill="1" applyBorder="1" applyAlignment="1">
      <alignment horizontal="left"/>
    </xf>
    <xf numFmtId="37" fontId="1" fillId="33" borderId="14" xfId="0" applyNumberFormat="1" applyFont="1" applyFill="1" applyBorder="1" applyAlignment="1">
      <alignment/>
    </xf>
    <xf numFmtId="37" fontId="1" fillId="33" borderId="13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 horizontal="left" vertical="top"/>
    </xf>
    <xf numFmtId="3" fontId="1" fillId="0" borderId="15" xfId="0" applyNumberFormat="1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horizontal="left" vertical="top"/>
    </xf>
    <xf numFmtId="37" fontId="1" fillId="33" borderId="16" xfId="0" applyNumberFormat="1" applyFont="1" applyFill="1" applyBorder="1" applyAlignment="1">
      <alignment horizontal="left"/>
    </xf>
    <xf numFmtId="37" fontId="1" fillId="33" borderId="13" xfId="0" applyNumberFormat="1" applyFont="1" applyFill="1" applyBorder="1" applyAlignment="1">
      <alignment horizontal="left" vertical="top"/>
    </xf>
    <xf numFmtId="3" fontId="1" fillId="33" borderId="17" xfId="0" applyNumberFormat="1" applyFont="1" applyFill="1" applyBorder="1" applyAlignment="1">
      <alignment/>
    </xf>
    <xf numFmtId="37" fontId="1" fillId="33" borderId="17" xfId="0" applyNumberFormat="1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" fillId="0" borderId="15" xfId="0" applyNumberFormat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3" fontId="1" fillId="33" borderId="13" xfId="0" applyNumberFormat="1" applyFont="1" applyFill="1" applyBorder="1" applyAlignment="1">
      <alignment horizontal="left" vertical="top"/>
    </xf>
    <xf numFmtId="0" fontId="1" fillId="0" borderId="0" xfId="0" applyFont="1" applyFill="1" applyAlignment="1">
      <alignment/>
    </xf>
    <xf numFmtId="3" fontId="1" fillId="0" borderId="18" xfId="0" applyNumberFormat="1" applyFont="1" applyFill="1" applyBorder="1" applyAlignment="1">
      <alignment horizontal="center" wrapText="1"/>
    </xf>
    <xf numFmtId="3" fontId="1" fillId="0" borderId="16" xfId="0" applyNumberFormat="1" applyFont="1" applyFill="1" applyBorder="1" applyAlignment="1">
      <alignment horizontal="center" wrapText="1"/>
    </xf>
    <xf numFmtId="3" fontId="1" fillId="0" borderId="14" xfId="0" applyNumberFormat="1" applyFont="1" applyFill="1" applyBorder="1" applyAlignment="1">
      <alignment horizontal="center" wrapText="1"/>
    </xf>
    <xf numFmtId="37" fontId="1" fillId="0" borderId="11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0" fillId="0" borderId="10" xfId="0" applyNumberFormat="1" applyFon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left"/>
    </xf>
    <xf numFmtId="37" fontId="0" fillId="0" borderId="20" xfId="0" applyNumberFormat="1" applyBorder="1" applyAlignment="1">
      <alignment horizontal="left"/>
    </xf>
    <xf numFmtId="37" fontId="0" fillId="0" borderId="20" xfId="0" applyNumberFormat="1" applyFill="1" applyBorder="1" applyAlignment="1">
      <alignment horizontal="left"/>
    </xf>
    <xf numFmtId="37" fontId="0" fillId="0" borderId="21" xfId="0" applyNumberForma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37" fontId="0" fillId="0" borderId="0" xfId="0" applyNumberFormat="1" applyFill="1" applyBorder="1" applyAlignment="1">
      <alignment/>
    </xf>
    <xf numFmtId="37" fontId="0" fillId="0" borderId="0" xfId="0" applyNumberFormat="1" applyBorder="1" applyAlignment="1">
      <alignment horizontal="center"/>
    </xf>
    <xf numFmtId="37" fontId="0" fillId="0" borderId="0" xfId="0" applyNumberForma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37" fontId="0" fillId="34" borderId="0" xfId="0" applyNumberFormat="1" applyFill="1" applyBorder="1" applyAlignment="1">
      <alignment/>
    </xf>
    <xf numFmtId="0" fontId="0" fillId="0" borderId="15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7" fontId="1" fillId="34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center"/>
    </xf>
    <xf numFmtId="37" fontId="9" fillId="0" borderId="0" xfId="0" applyNumberFormat="1" applyFont="1" applyFill="1" applyBorder="1" applyAlignment="1">
      <alignment/>
    </xf>
    <xf numFmtId="37" fontId="9" fillId="34" borderId="0" xfId="0" applyNumberFormat="1" applyFont="1" applyFill="1" applyBorder="1" applyAlignment="1">
      <alignment/>
    </xf>
    <xf numFmtId="37" fontId="9" fillId="0" borderId="0" xfId="0" applyNumberFormat="1" applyFont="1" applyBorder="1" applyAlignment="1">
      <alignment/>
    </xf>
    <xf numFmtId="37" fontId="9" fillId="0" borderId="10" xfId="0" applyNumberFormat="1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34" borderId="0" xfId="0" applyNumberFormat="1" applyFont="1" applyFill="1" applyBorder="1" applyAlignment="1">
      <alignment/>
    </xf>
    <xf numFmtId="37" fontId="1" fillId="0" borderId="10" xfId="0" applyNumberFormat="1" applyFont="1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/>
    </xf>
    <xf numFmtId="37" fontId="0" fillId="35" borderId="0" xfId="0" applyNumberFormat="1" applyFill="1" applyBorder="1" applyAlignment="1">
      <alignment/>
    </xf>
    <xf numFmtId="37" fontId="0" fillId="35" borderId="10" xfId="0" applyNumberForma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37" fontId="0" fillId="0" borderId="23" xfId="0" applyNumberFormat="1" applyBorder="1" applyAlignment="1">
      <alignment/>
    </xf>
    <xf numFmtId="37" fontId="0" fillId="0" borderId="24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37" fontId="0" fillId="0" borderId="20" xfId="0" applyNumberFormat="1" applyBorder="1" applyAlignment="1">
      <alignment/>
    </xf>
    <xf numFmtId="37" fontId="0" fillId="0" borderId="20" xfId="0" applyNumberFormat="1" applyFill="1" applyBorder="1" applyAlignment="1">
      <alignment/>
    </xf>
    <xf numFmtId="37" fontId="0" fillId="0" borderId="20" xfId="0" applyNumberFormat="1" applyBorder="1" applyAlignment="1">
      <alignment horizontal="center"/>
    </xf>
    <xf numFmtId="37" fontId="0" fillId="0" borderId="21" xfId="0" applyNumberFormat="1" applyBorder="1" applyAlignment="1">
      <alignment/>
    </xf>
    <xf numFmtId="37" fontId="0" fillId="0" borderId="23" xfId="0" applyNumberFormat="1" applyBorder="1" applyAlignment="1">
      <alignment horizontal="center"/>
    </xf>
    <xf numFmtId="37" fontId="0" fillId="0" borderId="23" xfId="0" applyNumberFormat="1" applyFill="1" applyBorder="1" applyAlignment="1">
      <alignment horizontal="center"/>
    </xf>
    <xf numFmtId="37" fontId="9" fillId="0" borderId="10" xfId="0" applyNumberFormat="1" applyFont="1" applyFill="1" applyBorder="1" applyAlignment="1">
      <alignment/>
    </xf>
    <xf numFmtId="0" fontId="9" fillId="0" borderId="19" xfId="0" applyFont="1" applyBorder="1" applyAlignment="1">
      <alignment horizontal="left"/>
    </xf>
    <xf numFmtId="37" fontId="0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15" xfId="0" applyFont="1" applyBorder="1" applyAlignment="1">
      <alignment horizontal="center"/>
    </xf>
    <xf numFmtId="37" fontId="1" fillId="0" borderId="0" xfId="0" applyNumberFormat="1" applyFont="1" applyAlignment="1">
      <alignment horizontal="left"/>
    </xf>
    <xf numFmtId="37" fontId="9" fillId="36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Border="1" applyAlignment="1">
      <alignment horizontal="center"/>
    </xf>
    <xf numFmtId="37" fontId="9" fillId="0" borderId="0" xfId="0" applyNumberFormat="1" applyFont="1" applyFill="1" applyAlignment="1">
      <alignment horizontal="center"/>
    </xf>
    <xf numFmtId="37" fontId="1" fillId="0" borderId="0" xfId="0" applyNumberFormat="1" applyFont="1" applyFill="1" applyAlignment="1">
      <alignment horizontal="center"/>
    </xf>
    <xf numFmtId="0" fontId="9" fillId="0" borderId="15" xfId="0" applyFont="1" applyFill="1" applyBorder="1" applyAlignment="1" quotePrefix="1">
      <alignment horizontal="center"/>
    </xf>
    <xf numFmtId="0" fontId="9" fillId="0" borderId="15" xfId="0" applyFont="1" applyBorder="1" applyAlignment="1" quotePrefix="1">
      <alignment horizontal="center"/>
    </xf>
    <xf numFmtId="0" fontId="14" fillId="0" borderId="0" xfId="0" applyFont="1" applyFill="1" applyBorder="1" applyAlignment="1">
      <alignment horizontal="center" wrapText="1"/>
    </xf>
    <xf numFmtId="3" fontId="15" fillId="0" borderId="0" xfId="0" applyNumberFormat="1" applyFont="1" applyFill="1" applyAlignment="1" quotePrefix="1">
      <alignment horizontal="center" wrapText="1"/>
    </xf>
    <xf numFmtId="37" fontId="9" fillId="0" borderId="0" xfId="0" applyNumberFormat="1" applyFont="1" applyAlignment="1">
      <alignment horizontal="left"/>
    </xf>
    <xf numFmtId="37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37" fontId="9" fillId="0" borderId="20" xfId="0" applyNumberFormat="1" applyFont="1" applyBorder="1" applyAlignment="1">
      <alignment horizontal="left"/>
    </xf>
    <xf numFmtId="37" fontId="9" fillId="0" borderId="20" xfId="0" applyNumberFormat="1" applyFont="1" applyFill="1" applyBorder="1" applyAlignment="1">
      <alignment horizontal="left"/>
    </xf>
    <xf numFmtId="37" fontId="9" fillId="0" borderId="21" xfId="0" applyNumberFormat="1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37" fontId="9" fillId="0" borderId="20" xfId="0" applyNumberFormat="1" applyFont="1" applyBorder="1" applyAlignment="1">
      <alignment/>
    </xf>
    <xf numFmtId="37" fontId="9" fillId="0" borderId="20" xfId="0" applyNumberFormat="1" applyFont="1" applyFill="1" applyBorder="1" applyAlignment="1">
      <alignment/>
    </xf>
    <xf numFmtId="37" fontId="9" fillId="0" borderId="20" xfId="0" applyNumberFormat="1" applyFont="1" applyBorder="1" applyAlignment="1">
      <alignment horizontal="center"/>
    </xf>
    <xf numFmtId="37" fontId="9" fillId="36" borderId="12" xfId="0" applyNumberFormat="1" applyFont="1" applyFill="1" applyBorder="1" applyAlignment="1">
      <alignment/>
    </xf>
    <xf numFmtId="37" fontId="9" fillId="0" borderId="21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7" fontId="9" fillId="0" borderId="0" xfId="0" applyNumberFormat="1" applyFont="1" applyBorder="1" applyAlignment="1">
      <alignment horizontal="center"/>
    </xf>
    <xf numFmtId="37" fontId="9" fillId="0" borderId="0" xfId="0" applyNumberFormat="1" applyFont="1" applyFill="1" applyBorder="1" applyAlignment="1">
      <alignment horizontal="center"/>
    </xf>
    <xf numFmtId="37" fontId="9" fillId="36" borderId="11" xfId="0" applyNumberFormat="1" applyFont="1" applyFill="1" applyBorder="1" applyAlignment="1">
      <alignment/>
    </xf>
    <xf numFmtId="37" fontId="9" fillId="0" borderId="10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37" fontId="9" fillId="0" borderId="23" xfId="0" applyNumberFormat="1" applyFont="1" applyBorder="1" applyAlignment="1">
      <alignment horizontal="center"/>
    </xf>
    <xf numFmtId="37" fontId="9" fillId="0" borderId="23" xfId="0" applyNumberFormat="1" applyFont="1" applyFill="1" applyBorder="1" applyAlignment="1">
      <alignment horizontal="center"/>
    </xf>
    <xf numFmtId="37" fontId="9" fillId="0" borderId="23" xfId="0" applyNumberFormat="1" applyFont="1" applyBorder="1" applyAlignment="1">
      <alignment/>
    </xf>
    <xf numFmtId="37" fontId="9" fillId="36" borderId="25" xfId="0" applyNumberFormat="1" applyFont="1" applyFill="1" applyBorder="1" applyAlignment="1">
      <alignment/>
    </xf>
    <xf numFmtId="37" fontId="9" fillId="0" borderId="23" xfId="0" applyNumberFormat="1" applyFont="1" applyFill="1" applyBorder="1" applyAlignment="1">
      <alignment/>
    </xf>
    <xf numFmtId="37" fontId="9" fillId="0" borderId="24" xfId="0" applyNumberFormat="1" applyFont="1" applyBorder="1" applyAlignment="1">
      <alignment/>
    </xf>
    <xf numFmtId="37" fontId="9" fillId="0" borderId="0" xfId="0" applyNumberFormat="1" applyFont="1" applyFill="1" applyBorder="1" applyAlignment="1">
      <alignment/>
    </xf>
    <xf numFmtId="165" fontId="9" fillId="0" borderId="10" xfId="42" applyNumberFormat="1" applyFont="1" applyFill="1" applyBorder="1" applyAlignment="1" quotePrefix="1">
      <alignment horizontal="center"/>
    </xf>
    <xf numFmtId="37" fontId="9" fillId="34" borderId="0" xfId="0" applyNumberFormat="1" applyFont="1" applyFill="1" applyBorder="1" applyAlignment="1">
      <alignment horizontal="center"/>
    </xf>
    <xf numFmtId="37" fontId="9" fillId="0" borderId="10" xfId="0" applyNumberFormat="1" applyFont="1" applyBorder="1" applyAlignment="1">
      <alignment horizontal="center"/>
    </xf>
    <xf numFmtId="37" fontId="9" fillId="34" borderId="23" xfId="0" applyNumberFormat="1" applyFont="1" applyFill="1" applyBorder="1" applyAlignment="1">
      <alignment horizontal="center"/>
    </xf>
    <xf numFmtId="37" fontId="9" fillId="0" borderId="24" xfId="0" applyNumberFormat="1" applyFont="1" applyBorder="1" applyAlignment="1">
      <alignment horizontal="center"/>
    </xf>
    <xf numFmtId="37" fontId="9" fillId="34" borderId="0" xfId="0" applyNumberFormat="1" applyFont="1" applyFill="1" applyBorder="1" applyAlignment="1">
      <alignment/>
    </xf>
    <xf numFmtId="0" fontId="9" fillId="35" borderId="15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/>
    </xf>
    <xf numFmtId="37" fontId="9" fillId="35" borderId="0" xfId="0" applyNumberFormat="1" applyFont="1" applyFill="1" applyBorder="1" applyAlignment="1">
      <alignment/>
    </xf>
    <xf numFmtId="37" fontId="9" fillId="35" borderId="10" xfId="0" applyNumberFormat="1" applyFont="1" applyFill="1" applyBorder="1" applyAlignment="1">
      <alignment/>
    </xf>
    <xf numFmtId="0" fontId="9" fillId="35" borderId="22" xfId="0" applyFont="1" applyFill="1" applyBorder="1" applyAlignment="1">
      <alignment horizontal="center"/>
    </xf>
    <xf numFmtId="0" fontId="9" fillId="35" borderId="23" xfId="0" applyFont="1" applyFill="1" applyBorder="1" applyAlignment="1">
      <alignment horizontal="center"/>
    </xf>
    <xf numFmtId="0" fontId="9" fillId="35" borderId="23" xfId="0" applyFont="1" applyFill="1" applyBorder="1" applyAlignment="1">
      <alignment/>
    </xf>
    <xf numFmtId="37" fontId="9" fillId="35" borderId="23" xfId="0" applyNumberFormat="1" applyFont="1" applyFill="1" applyBorder="1" applyAlignment="1">
      <alignment/>
    </xf>
    <xf numFmtId="37" fontId="9" fillId="35" borderId="24" xfId="0" applyNumberFormat="1" applyFont="1" applyFill="1" applyBorder="1" applyAlignment="1">
      <alignment/>
    </xf>
    <xf numFmtId="37" fontId="9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37" fontId="0" fillId="0" borderId="0" xfId="0" applyNumberFormat="1" applyBorder="1" applyAlignment="1">
      <alignment horizontal="left"/>
    </xf>
    <xf numFmtId="0" fontId="0" fillId="34" borderId="15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37" fontId="0" fillId="34" borderId="10" xfId="0" applyNumberFormat="1" applyFill="1" applyBorder="1" applyAlignment="1">
      <alignment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0" xfId="0" applyFill="1" applyBorder="1" applyAlignment="1">
      <alignment/>
    </xf>
    <xf numFmtId="37" fontId="0" fillId="34" borderId="20" xfId="0" applyNumberFormat="1" applyFill="1" applyBorder="1" applyAlignment="1">
      <alignment/>
    </xf>
    <xf numFmtId="37" fontId="0" fillId="34" borderId="21" xfId="0" applyNumberFormat="1" applyFill="1" applyBorder="1" applyAlignment="1">
      <alignment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23" xfId="0" applyFill="1" applyBorder="1" applyAlignment="1" quotePrefix="1">
      <alignment/>
    </xf>
    <xf numFmtId="37" fontId="0" fillId="34" borderId="23" xfId="0" applyNumberFormat="1" applyFill="1" applyBorder="1" applyAlignment="1">
      <alignment/>
    </xf>
    <xf numFmtId="37" fontId="9" fillId="35" borderId="0" xfId="0" applyNumberFormat="1" applyFont="1" applyFill="1" applyAlignment="1">
      <alignment/>
    </xf>
    <xf numFmtId="0" fontId="9" fillId="35" borderId="0" xfId="0" applyFont="1" applyFill="1" applyAlignment="1">
      <alignment/>
    </xf>
    <xf numFmtId="0" fontId="9" fillId="35" borderId="0" xfId="0" applyFont="1" applyFill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9" fillId="34" borderId="20" xfId="0" applyFont="1" applyFill="1" applyBorder="1" applyAlignment="1">
      <alignment/>
    </xf>
    <xf numFmtId="37" fontId="9" fillId="34" borderId="20" xfId="0" applyNumberFormat="1" applyFont="1" applyFill="1" applyBorder="1" applyAlignment="1">
      <alignment/>
    </xf>
    <xf numFmtId="37" fontId="9" fillId="34" borderId="21" xfId="0" applyNumberFormat="1" applyFont="1" applyFill="1" applyBorder="1" applyAlignment="1">
      <alignment/>
    </xf>
    <xf numFmtId="0" fontId="9" fillId="34" borderId="15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37" fontId="9" fillId="34" borderId="10" xfId="0" applyNumberFormat="1" applyFont="1" applyFill="1" applyBorder="1" applyAlignment="1">
      <alignment/>
    </xf>
    <xf numFmtId="0" fontId="9" fillId="34" borderId="22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9" fillId="34" borderId="23" xfId="0" applyFont="1" applyFill="1" applyBorder="1" applyAlignment="1" quotePrefix="1">
      <alignment/>
    </xf>
    <xf numFmtId="37" fontId="9" fillId="34" borderId="23" xfId="0" applyNumberFormat="1" applyFont="1" applyFill="1" applyBorder="1" applyAlignment="1">
      <alignment/>
    </xf>
    <xf numFmtId="3" fontId="1" fillId="33" borderId="26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37" fontId="1" fillId="33" borderId="18" xfId="0" applyNumberFormat="1" applyFont="1" applyFill="1" applyBorder="1" applyAlignment="1">
      <alignment/>
    </xf>
    <xf numFmtId="37" fontId="1" fillId="0" borderId="14" xfId="0" applyNumberFormat="1" applyFont="1" applyFill="1" applyBorder="1" applyAlignment="1">
      <alignment horizontal="center" wrapText="1"/>
    </xf>
    <xf numFmtId="37" fontId="0" fillId="37" borderId="0" xfId="0" applyNumberFormat="1" applyFill="1" applyBorder="1" applyAlignment="1">
      <alignment/>
    </xf>
    <xf numFmtId="37" fontId="1" fillId="37" borderId="0" xfId="0" applyNumberFormat="1" applyFont="1" applyFill="1" applyBorder="1" applyAlignment="1">
      <alignment/>
    </xf>
    <xf numFmtId="37" fontId="9" fillId="37" borderId="0" xfId="0" applyNumberFormat="1" applyFont="1" applyFill="1" applyBorder="1" applyAlignment="1">
      <alignment/>
    </xf>
    <xf numFmtId="37" fontId="0" fillId="37" borderId="0" xfId="0" applyNumberFormat="1" applyFont="1" applyFill="1" applyBorder="1" applyAlignment="1">
      <alignment/>
    </xf>
    <xf numFmtId="37" fontId="1" fillId="0" borderId="15" xfId="0" applyNumberFormat="1" applyFont="1" applyFill="1" applyBorder="1" applyAlignment="1">
      <alignment horizontal="left"/>
    </xf>
    <xf numFmtId="37" fontId="1" fillId="0" borderId="10" xfId="0" applyNumberFormat="1" applyFont="1" applyFill="1" applyBorder="1" applyAlignment="1">
      <alignment horizontal="left" vertical="top"/>
    </xf>
    <xf numFmtId="0" fontId="0" fillId="0" borderId="15" xfId="0" applyFont="1" applyBorder="1" applyAlignment="1" quotePrefix="1">
      <alignment horizontal="center"/>
    </xf>
    <xf numFmtId="0" fontId="0" fillId="0" borderId="0" xfId="0" applyFont="1" applyAlignment="1">
      <alignment horizontal="center"/>
    </xf>
    <xf numFmtId="37" fontId="0" fillId="0" borderId="20" xfId="0" applyNumberFormat="1" applyFill="1" applyBorder="1" applyAlignment="1">
      <alignment horizontal="center"/>
    </xf>
    <xf numFmtId="37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7" borderId="0" xfId="0" applyFill="1" applyAlignment="1">
      <alignment/>
    </xf>
    <xf numFmtId="37" fontId="0" fillId="38" borderId="0" xfId="0" applyNumberFormat="1" applyFill="1" applyBorder="1" applyAlignment="1">
      <alignment/>
    </xf>
    <xf numFmtId="37" fontId="1" fillId="38" borderId="0" xfId="0" applyNumberFormat="1" applyFont="1" applyFill="1" applyBorder="1" applyAlignment="1">
      <alignment/>
    </xf>
    <xf numFmtId="37" fontId="0" fillId="38" borderId="0" xfId="0" applyNumberFormat="1" applyFont="1" applyFill="1" applyBorder="1" applyAlignment="1">
      <alignment/>
    </xf>
    <xf numFmtId="37" fontId="9" fillId="38" borderId="0" xfId="0" applyNumberFormat="1" applyFont="1" applyFill="1" applyBorder="1" applyAlignment="1">
      <alignment/>
    </xf>
    <xf numFmtId="37" fontId="0" fillId="38" borderId="0" xfId="0" applyNumberFormat="1" applyFont="1" applyFill="1" applyBorder="1" applyAlignment="1">
      <alignment/>
    </xf>
    <xf numFmtId="0" fontId="0" fillId="38" borderId="0" xfId="0" applyFill="1" applyAlignment="1">
      <alignment/>
    </xf>
    <xf numFmtId="0" fontId="0" fillId="0" borderId="0" xfId="0" applyFill="1" applyAlignment="1">
      <alignment/>
    </xf>
    <xf numFmtId="0" fontId="5" fillId="37" borderId="0" xfId="0" applyFont="1" applyFill="1" applyBorder="1" applyAlignment="1">
      <alignment horizontal="center" wrapText="1"/>
    </xf>
    <xf numFmtId="37" fontId="0" fillId="34" borderId="24" xfId="0" applyNumberFormat="1" applyFill="1" applyBorder="1" applyAlignment="1">
      <alignment/>
    </xf>
    <xf numFmtId="0" fontId="0" fillId="34" borderId="0" xfId="0" applyFill="1" applyAlignment="1">
      <alignment/>
    </xf>
    <xf numFmtId="3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9" fillId="33" borderId="16" xfId="0" applyFont="1" applyFill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1" fillId="0" borderId="0" xfId="0" applyFont="1" applyAlignment="1" quotePrefix="1">
      <alignment horizontal="left"/>
    </xf>
    <xf numFmtId="0" fontId="0" fillId="0" borderId="0" xfId="0" applyFont="1" applyFill="1" applyAlignment="1">
      <alignment horizontal="center"/>
    </xf>
    <xf numFmtId="37" fontId="1" fillId="35" borderId="13" xfId="0" applyNumberFormat="1" applyFont="1" applyFill="1" applyBorder="1" applyAlignment="1">
      <alignment/>
    </xf>
    <xf numFmtId="37" fontId="1" fillId="35" borderId="11" xfId="0" applyNumberFormat="1" applyFont="1" applyFill="1" applyBorder="1" applyAlignment="1">
      <alignment/>
    </xf>
    <xf numFmtId="37" fontId="1" fillId="35" borderId="14" xfId="0" applyNumberFormat="1" applyFont="1" applyFill="1" applyBorder="1" applyAlignment="1">
      <alignment/>
    </xf>
    <xf numFmtId="37" fontId="1" fillId="35" borderId="18" xfId="0" applyNumberFormat="1" applyFont="1" applyFill="1" applyBorder="1" applyAlignment="1">
      <alignment/>
    </xf>
    <xf numFmtId="37" fontId="1" fillId="35" borderId="15" xfId="0" applyNumberFormat="1" applyFont="1" applyFill="1" applyBorder="1" applyAlignment="1">
      <alignment/>
    </xf>
    <xf numFmtId="37" fontId="1" fillId="35" borderId="10" xfId="0" applyNumberFormat="1" applyFont="1" applyFill="1" applyBorder="1" applyAlignment="1">
      <alignment/>
    </xf>
    <xf numFmtId="37" fontId="1" fillId="0" borderId="0" xfId="0" applyNumberFormat="1" applyFont="1" applyFill="1" applyAlignment="1">
      <alignment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37" fontId="1" fillId="33" borderId="11" xfId="0" applyNumberFormat="1" applyFont="1" applyFill="1" applyBorder="1" applyAlignment="1">
      <alignment/>
    </xf>
    <xf numFmtId="37" fontId="1" fillId="33" borderId="15" xfId="0" applyNumberFormat="1" applyFont="1" applyFill="1" applyBorder="1" applyAlignment="1">
      <alignment/>
    </xf>
    <xf numFmtId="37" fontId="1" fillId="33" borderId="10" xfId="0" applyNumberFormat="1" applyFont="1" applyFill="1" applyBorder="1" applyAlignment="1">
      <alignment/>
    </xf>
    <xf numFmtId="0" fontId="1" fillId="33" borderId="27" xfId="0" applyFont="1" applyFill="1" applyBorder="1" applyAlignment="1" quotePrefix="1">
      <alignment horizontal="left"/>
    </xf>
    <xf numFmtId="0" fontId="0" fillId="33" borderId="17" xfId="0" applyFont="1" applyFill="1" applyBorder="1" applyAlignment="1">
      <alignment/>
    </xf>
    <xf numFmtId="37" fontId="0" fillId="33" borderId="17" xfId="0" applyNumberFormat="1" applyFont="1" applyFill="1" applyBorder="1" applyAlignment="1">
      <alignment/>
    </xf>
    <xf numFmtId="37" fontId="0" fillId="33" borderId="28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 horizontal="left"/>
    </xf>
    <xf numFmtId="3" fontId="1" fillId="33" borderId="18" xfId="0" applyNumberFormat="1" applyFont="1" applyFill="1" applyBorder="1" applyAlignment="1">
      <alignment/>
    </xf>
    <xf numFmtId="37" fontId="0" fillId="0" borderId="25" xfId="0" applyNumberFormat="1" applyFont="1" applyBorder="1" applyAlignment="1">
      <alignment/>
    </xf>
    <xf numFmtId="37" fontId="1" fillId="33" borderId="16" xfId="0" applyNumberFormat="1" applyFont="1" applyFill="1" applyBorder="1" applyAlignment="1">
      <alignment/>
    </xf>
    <xf numFmtId="37" fontId="0" fillId="39" borderId="0" xfId="0" applyNumberFormat="1" applyFill="1" applyBorder="1" applyAlignment="1">
      <alignment/>
    </xf>
    <xf numFmtId="37" fontId="0" fillId="39" borderId="0" xfId="0" applyNumberFormat="1" applyFont="1" applyFill="1" applyBorder="1" applyAlignment="1">
      <alignment/>
    </xf>
    <xf numFmtId="37" fontId="1" fillId="39" borderId="0" xfId="0" applyNumberFormat="1" applyFont="1" applyFill="1" applyBorder="1" applyAlignment="1">
      <alignment/>
    </xf>
    <xf numFmtId="0" fontId="0" fillId="39" borderId="0" xfId="0" applyFill="1" applyAlignment="1">
      <alignment/>
    </xf>
    <xf numFmtId="37" fontId="9" fillId="39" borderId="0" xfId="0" applyNumberFormat="1" applyFont="1" applyFill="1" applyBorder="1" applyAlignment="1">
      <alignment/>
    </xf>
    <xf numFmtId="37" fontId="0" fillId="0" borderId="12" xfId="0" applyNumberFormat="1" applyFill="1" applyBorder="1" applyAlignment="1">
      <alignment horizontal="left"/>
    </xf>
    <xf numFmtId="37" fontId="12" fillId="0" borderId="12" xfId="0" applyNumberFormat="1" applyFont="1" applyFill="1" applyBorder="1" applyAlignment="1">
      <alignment/>
    </xf>
    <xf numFmtId="37" fontId="12" fillId="0" borderId="11" xfId="0" applyNumberFormat="1" applyFont="1" applyFill="1" applyBorder="1" applyAlignment="1">
      <alignment/>
    </xf>
    <xf numFmtId="37" fontId="12" fillId="0" borderId="25" xfId="0" applyNumberFormat="1" applyFont="1" applyFill="1" applyBorder="1" applyAlignment="1">
      <alignment/>
    </xf>
    <xf numFmtId="37" fontId="13" fillId="0" borderId="11" xfId="0" applyNumberFormat="1" applyFont="1" applyFill="1" applyBorder="1" applyAlignment="1">
      <alignment/>
    </xf>
    <xf numFmtId="37" fontId="9" fillId="0" borderId="11" xfId="0" applyNumberFormat="1" applyFont="1" applyFill="1" applyBorder="1" applyAlignment="1">
      <alignment/>
    </xf>
    <xf numFmtId="37" fontId="9" fillId="0" borderId="11" xfId="0" applyNumberFormat="1" applyFont="1" applyBorder="1" applyAlignment="1">
      <alignment/>
    </xf>
    <xf numFmtId="37" fontId="12" fillId="35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37" fontId="0" fillId="34" borderId="11" xfId="0" applyNumberFormat="1" applyFill="1" applyBorder="1" applyAlignment="1">
      <alignment/>
    </xf>
    <xf numFmtId="37" fontId="12" fillId="34" borderId="11" xfId="0" applyNumberFormat="1" applyFont="1" applyFill="1" applyBorder="1" applyAlignment="1">
      <alignment/>
    </xf>
    <xf numFmtId="37" fontId="0" fillId="34" borderId="12" xfId="0" applyNumberFormat="1" applyFill="1" applyBorder="1" applyAlignment="1">
      <alignment/>
    </xf>
    <xf numFmtId="37" fontId="0" fillId="34" borderId="25" xfId="0" applyNumberFormat="1" applyFill="1" applyBorder="1" applyAlignment="1">
      <alignment/>
    </xf>
    <xf numFmtId="37" fontId="0" fillId="0" borderId="12" xfId="0" applyNumberFormat="1" applyBorder="1" applyAlignment="1">
      <alignment horizontal="left"/>
    </xf>
    <xf numFmtId="37" fontId="0" fillId="0" borderId="12" xfId="0" applyNumberFormat="1" applyBorder="1" applyAlignment="1">
      <alignment/>
    </xf>
    <xf numFmtId="37" fontId="0" fillId="0" borderId="11" xfId="0" applyNumberFormat="1" applyBorder="1" applyAlignment="1">
      <alignment horizontal="center"/>
    </xf>
    <xf numFmtId="37" fontId="0" fillId="0" borderId="25" xfId="0" applyNumberFormat="1" applyBorder="1" applyAlignment="1">
      <alignment horizontal="center"/>
    </xf>
    <xf numFmtId="37" fontId="0" fillId="0" borderId="11" xfId="0" applyNumberFormat="1" applyBorder="1" applyAlignment="1">
      <alignment/>
    </xf>
    <xf numFmtId="37" fontId="0" fillId="35" borderId="11" xfId="0" applyNumberFormat="1" applyFill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37" fontId="1" fillId="0" borderId="18" xfId="0" applyNumberFormat="1" applyFont="1" applyBorder="1" applyAlignment="1">
      <alignment/>
    </xf>
    <xf numFmtId="37" fontId="1" fillId="0" borderId="18" xfId="0" applyNumberFormat="1" applyFont="1" applyFill="1" applyBorder="1" applyAlignment="1">
      <alignment/>
    </xf>
    <xf numFmtId="37" fontId="1" fillId="34" borderId="18" xfId="0" applyNumberFormat="1" applyFont="1" applyFill="1" applyBorder="1" applyAlignment="1">
      <alignment/>
    </xf>
    <xf numFmtId="37" fontId="1" fillId="0" borderId="14" xfId="0" applyNumberFormat="1" applyFont="1" applyBorder="1" applyAlignment="1">
      <alignment/>
    </xf>
    <xf numFmtId="37" fontId="1" fillId="38" borderId="18" xfId="0" applyNumberFormat="1" applyFont="1" applyFill="1" applyBorder="1" applyAlignment="1">
      <alignment/>
    </xf>
    <xf numFmtId="37" fontId="13" fillId="0" borderId="14" xfId="0" applyNumberFormat="1" applyFont="1" applyFill="1" applyBorder="1" applyAlignment="1">
      <alignment/>
    </xf>
    <xf numFmtId="37" fontId="1" fillId="39" borderId="18" xfId="0" applyNumberFormat="1" applyFont="1" applyFill="1" applyBorder="1" applyAlignment="1">
      <alignment/>
    </xf>
    <xf numFmtId="37" fontId="1" fillId="37" borderId="18" xfId="0" applyNumberFormat="1" applyFont="1" applyFill="1" applyBorder="1" applyAlignment="1">
      <alignment/>
    </xf>
    <xf numFmtId="37" fontId="1" fillId="0" borderId="13" xfId="0" applyNumberFormat="1" applyFont="1" applyBorder="1" applyAlignment="1">
      <alignment/>
    </xf>
    <xf numFmtId="0" fontId="1" fillId="0" borderId="18" xfId="0" applyFont="1" applyBorder="1" applyAlignment="1">
      <alignment/>
    </xf>
    <xf numFmtId="37" fontId="1" fillId="38" borderId="18" xfId="0" applyNumberFormat="1" applyFont="1" applyFill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/>
    </xf>
    <xf numFmtId="37" fontId="9" fillId="0" borderId="18" xfId="0" applyNumberFormat="1" applyFont="1" applyFill="1" applyBorder="1" applyAlignment="1">
      <alignment/>
    </xf>
    <xf numFmtId="37" fontId="9" fillId="0" borderId="18" xfId="0" applyNumberFormat="1" applyFont="1" applyBorder="1" applyAlignment="1">
      <alignment/>
    </xf>
    <xf numFmtId="37" fontId="9" fillId="34" borderId="18" xfId="0" applyNumberFormat="1" applyFont="1" applyFill="1" applyBorder="1" applyAlignment="1">
      <alignment/>
    </xf>
    <xf numFmtId="37" fontId="9" fillId="0" borderId="14" xfId="0" applyNumberFormat="1" applyFont="1" applyBorder="1" applyAlignment="1">
      <alignment/>
    </xf>
    <xf numFmtId="37" fontId="9" fillId="38" borderId="18" xfId="0" applyNumberFormat="1" applyFont="1" applyFill="1" applyBorder="1" applyAlignment="1">
      <alignment/>
    </xf>
    <xf numFmtId="37" fontId="9" fillId="0" borderId="13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7" fontId="1" fillId="34" borderId="0" xfId="0" applyNumberFormat="1" applyFont="1" applyFill="1" applyBorder="1" applyAlignment="1">
      <alignment horizontal="center"/>
    </xf>
    <xf numFmtId="37" fontId="1" fillId="0" borderId="11" xfId="0" applyNumberFormat="1" applyFont="1" applyBorder="1" applyAlignment="1">
      <alignment horizontal="center"/>
    </xf>
    <xf numFmtId="37" fontId="1" fillId="38" borderId="0" xfId="0" applyNumberFormat="1" applyFont="1" applyFill="1" applyBorder="1" applyAlignment="1">
      <alignment horizontal="center"/>
    </xf>
    <xf numFmtId="37" fontId="1" fillId="39" borderId="0" xfId="0" applyNumberFormat="1" applyFont="1" applyFill="1" applyBorder="1" applyAlignment="1">
      <alignment/>
    </xf>
    <xf numFmtId="165" fontId="1" fillId="0" borderId="10" xfId="42" applyNumberFormat="1" applyFont="1" applyFill="1" applyBorder="1" applyAlignment="1" quotePrefix="1">
      <alignment horizontal="center"/>
    </xf>
    <xf numFmtId="165" fontId="1" fillId="0" borderId="0" xfId="42" applyNumberFormat="1" applyFont="1" applyFill="1" applyBorder="1" applyAlignment="1" quotePrefix="1">
      <alignment horizontal="center"/>
    </xf>
    <xf numFmtId="0" fontId="1" fillId="0" borderId="0" xfId="0" applyFont="1" applyAlignment="1">
      <alignment/>
    </xf>
    <xf numFmtId="37" fontId="1" fillId="39" borderId="0" xfId="0" applyNumberFormat="1" applyFont="1" applyFill="1" applyBorder="1" applyAlignment="1">
      <alignment horizontal="center"/>
    </xf>
    <xf numFmtId="37" fontId="1" fillId="37" borderId="0" xfId="0" applyNumberFormat="1" applyFont="1" applyFill="1" applyBorder="1" applyAlignment="1">
      <alignment horizontal="center"/>
    </xf>
    <xf numFmtId="37" fontId="1" fillId="0" borderId="10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7" fontId="1" fillId="0" borderId="23" xfId="0" applyNumberFormat="1" applyFont="1" applyBorder="1" applyAlignment="1">
      <alignment horizontal="center"/>
    </xf>
    <xf numFmtId="37" fontId="1" fillId="0" borderId="23" xfId="0" applyNumberFormat="1" applyFont="1" applyFill="1" applyBorder="1" applyAlignment="1">
      <alignment horizontal="center"/>
    </xf>
    <xf numFmtId="37" fontId="1" fillId="34" borderId="23" xfId="0" applyNumberFormat="1" applyFont="1" applyFill="1" applyBorder="1" applyAlignment="1">
      <alignment horizontal="center"/>
    </xf>
    <xf numFmtId="37" fontId="1" fillId="0" borderId="25" xfId="0" applyNumberFormat="1" applyFont="1" applyBorder="1" applyAlignment="1">
      <alignment horizontal="center"/>
    </xf>
    <xf numFmtId="37" fontId="1" fillId="38" borderId="23" xfId="0" applyNumberFormat="1" applyFont="1" applyFill="1" applyBorder="1" applyAlignment="1">
      <alignment horizontal="center"/>
    </xf>
    <xf numFmtId="37" fontId="13" fillId="0" borderId="25" xfId="0" applyNumberFormat="1" applyFont="1" applyFill="1" applyBorder="1" applyAlignment="1">
      <alignment/>
    </xf>
    <xf numFmtId="37" fontId="1" fillId="39" borderId="23" xfId="0" applyNumberFormat="1" applyFont="1" applyFill="1" applyBorder="1" applyAlignment="1">
      <alignment horizontal="center"/>
    </xf>
    <xf numFmtId="37" fontId="1" fillId="37" borderId="23" xfId="0" applyNumberFormat="1" applyFont="1" applyFill="1" applyBorder="1" applyAlignment="1">
      <alignment horizontal="center"/>
    </xf>
    <xf numFmtId="37" fontId="1" fillId="0" borderId="24" xfId="0" applyNumberFormat="1" applyFont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37" fontId="13" fillId="33" borderId="14" xfId="0" applyNumberFormat="1" applyFont="1" applyFill="1" applyBorder="1" applyAlignment="1">
      <alignment/>
    </xf>
    <xf numFmtId="37" fontId="13" fillId="0" borderId="14" xfId="0" applyNumberFormat="1" applyFont="1" applyFill="1" applyBorder="1" applyAlignment="1">
      <alignment/>
    </xf>
    <xf numFmtId="37" fontId="0" fillId="0" borderId="0" xfId="0" applyNumberFormat="1" applyFill="1" applyBorder="1" applyAlignment="1" quotePrefix="1">
      <alignment/>
    </xf>
    <xf numFmtId="3" fontId="1" fillId="0" borderId="0" xfId="0" applyNumberFormat="1" applyFont="1" applyFill="1" applyAlignment="1">
      <alignment horizontal="center"/>
    </xf>
    <xf numFmtId="0" fontId="0" fillId="0" borderId="0" xfId="0" applyFill="1" applyAlignment="1" quotePrefix="1">
      <alignment/>
    </xf>
    <xf numFmtId="37" fontId="0" fillId="35" borderId="0" xfId="0" applyNumberFormat="1" applyFont="1" applyFill="1" applyBorder="1" applyAlignment="1">
      <alignment/>
    </xf>
    <xf numFmtId="37" fontId="9" fillId="35" borderId="0" xfId="0" applyNumberFormat="1" applyFont="1" applyFill="1" applyBorder="1" applyAlignment="1">
      <alignment/>
    </xf>
    <xf numFmtId="37" fontId="9" fillId="35" borderId="18" xfId="0" applyNumberFormat="1" applyFont="1" applyFill="1" applyBorder="1" applyAlignment="1">
      <alignment/>
    </xf>
    <xf numFmtId="37" fontId="13" fillId="35" borderId="14" xfId="0" applyNumberFormat="1" applyFont="1" applyFill="1" applyBorder="1" applyAlignment="1">
      <alignment/>
    </xf>
    <xf numFmtId="37" fontId="9" fillId="35" borderId="14" xfId="0" applyNumberFormat="1" applyFont="1" applyFill="1" applyBorder="1" applyAlignment="1">
      <alignment/>
    </xf>
    <xf numFmtId="37" fontId="9" fillId="0" borderId="14" xfId="0" applyNumberFormat="1" applyFont="1" applyFill="1" applyBorder="1" applyAlignment="1">
      <alignment/>
    </xf>
    <xf numFmtId="37" fontId="0" fillId="35" borderId="11" xfId="0" applyNumberFormat="1" applyFont="1" applyFill="1" applyBorder="1" applyAlignment="1">
      <alignment/>
    </xf>
    <xf numFmtId="37" fontId="0" fillId="35" borderId="10" xfId="0" applyNumberFormat="1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8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37" fontId="9" fillId="34" borderId="24" xfId="0" applyNumberFormat="1" applyFont="1" applyFill="1" applyBorder="1" applyAlignment="1">
      <alignment/>
    </xf>
    <xf numFmtId="37" fontId="1" fillId="35" borderId="0" xfId="0" applyNumberFormat="1" applyFont="1" applyFill="1" applyAlignment="1">
      <alignment/>
    </xf>
    <xf numFmtId="37" fontId="9" fillId="35" borderId="13" xfId="0" applyNumberFormat="1" applyFont="1" applyFill="1" applyBorder="1" applyAlignment="1">
      <alignment/>
    </xf>
    <xf numFmtId="37" fontId="0" fillId="40" borderId="0" xfId="0" applyNumberFormat="1" applyFont="1" applyFill="1" applyBorder="1" applyAlignment="1">
      <alignment/>
    </xf>
    <xf numFmtId="37" fontId="0" fillId="40" borderId="0" xfId="0" applyNumberFormat="1" applyFont="1" applyFill="1" applyBorder="1" applyAlignment="1" quotePrefix="1">
      <alignment/>
    </xf>
    <xf numFmtId="37" fontId="9" fillId="40" borderId="0" xfId="0" applyNumberFormat="1" applyFont="1" applyFill="1" applyBorder="1" applyAlignment="1">
      <alignment/>
    </xf>
    <xf numFmtId="37" fontId="51" fillId="0" borderId="0" xfId="0" applyNumberFormat="1" applyFont="1" applyFill="1" applyAlignment="1">
      <alignment/>
    </xf>
    <xf numFmtId="37" fontId="0" fillId="0" borderId="23" xfId="0" applyNumberFormat="1" applyFont="1" applyFill="1" applyBorder="1" applyAlignment="1" quotePrefix="1">
      <alignment horizontal="center"/>
    </xf>
    <xf numFmtId="37" fontId="0" fillId="0" borderId="23" xfId="0" applyNumberFormat="1" applyFill="1" applyBorder="1" applyAlignment="1" quotePrefix="1">
      <alignment horizontal="center"/>
    </xf>
    <xf numFmtId="37" fontId="52" fillId="0" borderId="10" xfId="0" applyNumberFormat="1" applyFont="1" applyFill="1" applyBorder="1" applyAlignment="1">
      <alignment/>
    </xf>
    <xf numFmtId="37" fontId="52" fillId="0" borderId="0" xfId="0" applyNumberFormat="1" applyFont="1" applyFill="1" applyAlignment="1">
      <alignment horizontal="center"/>
    </xf>
    <xf numFmtId="37" fontId="0" fillId="0" borderId="11" xfId="0" applyNumberFormat="1" applyFont="1" applyFill="1" applyBorder="1" applyAlignment="1" quotePrefix="1">
      <alignment/>
    </xf>
    <xf numFmtId="0" fontId="1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72"/>
  <sheetViews>
    <sheetView zoomScalePageLayoutView="0" workbookViewId="0" topLeftCell="A1">
      <pane xSplit="5" ySplit="12" topLeftCell="AC158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AF171" sqref="AF171"/>
    </sheetView>
  </sheetViews>
  <sheetFormatPr defaultColWidth="9.140625" defaultRowHeight="12.75"/>
  <cols>
    <col min="1" max="1" width="6.8515625" style="6" customWidth="1"/>
    <col min="2" max="2" width="12.28125" style="6" customWidth="1"/>
    <col min="3" max="3" width="8.28125" style="6" customWidth="1"/>
    <col min="4" max="4" width="8.8515625" style="6" customWidth="1"/>
    <col min="5" max="5" width="56.421875" style="0" customWidth="1"/>
    <col min="6" max="6" width="15.28125" style="2" customWidth="1"/>
    <col min="7" max="7" width="12.8515625" style="2" customWidth="1"/>
    <col min="8" max="8" width="14.421875" style="2" customWidth="1"/>
    <col min="9" max="9" width="12.8515625" style="18" customWidth="1"/>
    <col min="10" max="10" width="11.7109375" style="18" customWidth="1"/>
    <col min="11" max="11" width="2.00390625" style="2" customWidth="1"/>
    <col min="12" max="12" width="11.8515625" style="2" customWidth="1"/>
    <col min="13" max="13" width="13.140625" style="2" customWidth="1"/>
    <col min="14" max="14" width="10.7109375" style="2" customWidth="1"/>
    <col min="15" max="15" width="2.00390625" style="2" customWidth="1"/>
    <col min="16" max="16" width="15.7109375" style="2" customWidth="1"/>
    <col min="17" max="17" width="15.57421875" style="2" customWidth="1"/>
    <col min="18" max="18" width="16.00390625" style="2" customWidth="1"/>
    <col min="19" max="19" width="12.28125" style="2" customWidth="1"/>
    <col min="20" max="20" width="13.7109375" style="2" customWidth="1"/>
    <col min="21" max="21" width="15.8515625" style="2" customWidth="1"/>
    <col min="22" max="22" width="13.140625" style="2" customWidth="1"/>
    <col min="23" max="23" width="14.421875" style="2" customWidth="1"/>
    <col min="24" max="26" width="13.7109375" style="18" customWidth="1"/>
    <col min="27" max="27" width="14.8515625" style="2" customWidth="1"/>
    <col min="28" max="47" width="15.421875" style="2" customWidth="1"/>
    <col min="48" max="48" width="16.00390625" style="2" customWidth="1"/>
    <col min="49" max="49" width="2.140625" style="18" customWidth="1"/>
    <col min="50" max="50" width="13.8515625" style="18" customWidth="1"/>
    <col min="51" max="51" width="12.00390625" style="18" customWidth="1"/>
    <col min="52" max="52" width="15.8515625" style="2" customWidth="1"/>
    <col min="53" max="53" width="2.28125" style="2" customWidth="1"/>
    <col min="54" max="54" width="5.140625" style="126" customWidth="1"/>
    <col min="55" max="55" width="6.28125" style="9" customWidth="1"/>
  </cols>
  <sheetData>
    <row r="1" spans="1:55" s="7" customFormat="1" ht="12.75">
      <c r="A1" s="7" t="s">
        <v>207</v>
      </c>
      <c r="B1" s="6"/>
      <c r="D1" s="6"/>
      <c r="F1" s="8"/>
      <c r="G1" s="8"/>
      <c r="H1" s="8"/>
      <c r="I1" s="17"/>
      <c r="J1" s="1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17"/>
      <c r="Y1" s="17"/>
      <c r="Z1" s="17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17"/>
      <c r="AX1" s="17"/>
      <c r="AY1" s="17"/>
      <c r="AZ1" s="8"/>
      <c r="BA1" s="8"/>
      <c r="BB1" s="126"/>
      <c r="BC1" s="9"/>
    </row>
    <row r="2" spans="2:55" s="7" customFormat="1" ht="12.75">
      <c r="B2" s="6"/>
      <c r="D2" s="6"/>
      <c r="F2" s="8"/>
      <c r="G2" s="8"/>
      <c r="H2" s="8"/>
      <c r="I2" s="17"/>
      <c r="J2" s="1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17"/>
      <c r="Y2" s="17"/>
      <c r="Z2" s="17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17"/>
      <c r="AX2" s="17"/>
      <c r="AY2" s="17"/>
      <c r="AZ2" s="8"/>
      <c r="BA2" s="8"/>
      <c r="BB2" s="126"/>
      <c r="BC2" s="9"/>
    </row>
    <row r="3" spans="1:55" s="7" customFormat="1" ht="12.75">
      <c r="A3" s="7" t="s">
        <v>284</v>
      </c>
      <c r="B3" s="6"/>
      <c r="D3" s="6"/>
      <c r="F3" s="8"/>
      <c r="G3" s="8"/>
      <c r="H3" s="8"/>
      <c r="I3" s="17"/>
      <c r="J3" s="1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17"/>
      <c r="Y3" s="17"/>
      <c r="Z3" s="17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17"/>
      <c r="AX3" s="17"/>
      <c r="AY3" s="17"/>
      <c r="AZ3" s="8"/>
      <c r="BA3" s="8"/>
      <c r="BB3" s="126"/>
      <c r="BC3" s="9"/>
    </row>
    <row r="4" spans="2:55" s="7" customFormat="1" ht="13.5" thickBot="1">
      <c r="B4" s="6"/>
      <c r="D4" s="6"/>
      <c r="F4" s="8"/>
      <c r="G4" s="8"/>
      <c r="H4" s="8"/>
      <c r="I4" s="17"/>
      <c r="J4" s="17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17"/>
      <c r="Y4" s="17"/>
      <c r="Z4" s="17"/>
      <c r="AA4" s="8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8"/>
      <c r="AV4" s="8"/>
      <c r="AW4" s="17"/>
      <c r="AX4" s="17"/>
      <c r="AY4" s="17"/>
      <c r="AZ4" s="8"/>
      <c r="BA4" s="8"/>
      <c r="BB4" s="126"/>
      <c r="BC4" s="9"/>
    </row>
    <row r="5" spans="1:55" s="7" customFormat="1" ht="13.5" thickBot="1">
      <c r="A5" s="60" t="s">
        <v>176</v>
      </c>
      <c r="B5" s="61"/>
      <c r="C5" s="62"/>
      <c r="D5" s="61"/>
      <c r="E5" s="62"/>
      <c r="F5" s="63"/>
      <c r="G5" s="63"/>
      <c r="H5" s="63"/>
      <c r="I5" s="64"/>
      <c r="J5" s="64"/>
      <c r="K5" s="289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4"/>
      <c r="Y5" s="64"/>
      <c r="Z5" s="64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276"/>
      <c r="AX5" s="64"/>
      <c r="AY5" s="64"/>
      <c r="AZ5" s="65"/>
      <c r="BA5" s="186"/>
      <c r="BB5" s="126"/>
      <c r="BC5" s="9"/>
    </row>
    <row r="6" spans="1:53" ht="12.75">
      <c r="A6" s="106"/>
      <c r="B6" s="61"/>
      <c r="C6" s="61"/>
      <c r="D6" s="61"/>
      <c r="E6" s="107"/>
      <c r="F6" s="108"/>
      <c r="G6" s="108"/>
      <c r="H6" s="108"/>
      <c r="I6" s="109"/>
      <c r="J6" s="109"/>
      <c r="K6" s="290"/>
      <c r="L6" s="108"/>
      <c r="M6" s="108"/>
      <c r="N6" s="108"/>
      <c r="O6" s="108"/>
      <c r="P6" s="108"/>
      <c r="Q6" s="108"/>
      <c r="R6" s="108"/>
      <c r="S6" s="110" t="s">
        <v>152</v>
      </c>
      <c r="T6" s="110" t="s">
        <v>152</v>
      </c>
      <c r="U6" s="108"/>
      <c r="V6" s="110" t="s">
        <v>152</v>
      </c>
      <c r="W6" s="110" t="s">
        <v>152</v>
      </c>
      <c r="X6" s="228" t="s">
        <v>152</v>
      </c>
      <c r="Y6" s="228"/>
      <c r="Z6" s="228"/>
      <c r="AA6" s="110" t="s">
        <v>152</v>
      </c>
      <c r="AB6" s="110" t="s">
        <v>152</v>
      </c>
      <c r="AC6" s="110" t="s">
        <v>152</v>
      </c>
      <c r="AD6" s="110" t="s">
        <v>152</v>
      </c>
      <c r="AE6" s="110" t="s">
        <v>152</v>
      </c>
      <c r="AF6" s="110" t="s">
        <v>152</v>
      </c>
      <c r="AG6" s="110" t="s">
        <v>152</v>
      </c>
      <c r="AH6" s="110" t="s">
        <v>152</v>
      </c>
      <c r="AI6" s="110" t="s">
        <v>152</v>
      </c>
      <c r="AJ6" s="110" t="s">
        <v>152</v>
      </c>
      <c r="AK6" s="110" t="s">
        <v>152</v>
      </c>
      <c r="AL6" s="110" t="s">
        <v>152</v>
      </c>
      <c r="AM6" s="110" t="s">
        <v>152</v>
      </c>
      <c r="AN6" s="110" t="s">
        <v>152</v>
      </c>
      <c r="AO6" s="110" t="s">
        <v>152</v>
      </c>
      <c r="AP6" s="110" t="s">
        <v>152</v>
      </c>
      <c r="AQ6" s="110" t="s">
        <v>152</v>
      </c>
      <c r="AR6" s="110" t="s">
        <v>152</v>
      </c>
      <c r="AS6" s="110" t="s">
        <v>152</v>
      </c>
      <c r="AT6" s="110" t="s">
        <v>152</v>
      </c>
      <c r="AU6" s="110" t="s">
        <v>152</v>
      </c>
      <c r="AV6" s="108"/>
      <c r="AW6" s="277"/>
      <c r="AX6" s="109"/>
      <c r="AY6" s="228" t="s">
        <v>152</v>
      </c>
      <c r="AZ6" s="111"/>
      <c r="BA6" s="4"/>
    </row>
    <row r="7" spans="1:55" s="3" customFormat="1" ht="12.75">
      <c r="A7" s="66"/>
      <c r="B7" s="67"/>
      <c r="C7" s="67"/>
      <c r="D7" s="67"/>
      <c r="E7" s="67"/>
      <c r="F7" s="69"/>
      <c r="G7" s="69"/>
      <c r="H7" s="69" t="s">
        <v>144</v>
      </c>
      <c r="I7" s="70" t="s">
        <v>152</v>
      </c>
      <c r="J7" s="70" t="s">
        <v>145</v>
      </c>
      <c r="K7" s="291"/>
      <c r="L7" s="69"/>
      <c r="M7" s="69"/>
      <c r="N7" s="69" t="s">
        <v>146</v>
      </c>
      <c r="O7" s="69"/>
      <c r="P7" s="69" t="s">
        <v>147</v>
      </c>
      <c r="Q7" s="69" t="s">
        <v>148</v>
      </c>
      <c r="R7" s="69" t="s">
        <v>149</v>
      </c>
      <c r="S7" s="69" t="s">
        <v>150</v>
      </c>
      <c r="T7" s="69" t="s">
        <v>150</v>
      </c>
      <c r="U7" s="69" t="s">
        <v>153</v>
      </c>
      <c r="V7" s="69" t="s">
        <v>150</v>
      </c>
      <c r="W7" s="69" t="s">
        <v>150</v>
      </c>
      <c r="X7" s="70" t="s">
        <v>150</v>
      </c>
      <c r="Y7" s="70"/>
      <c r="Z7" s="70"/>
      <c r="AA7" s="69" t="s">
        <v>150</v>
      </c>
      <c r="AB7" s="69" t="s">
        <v>150</v>
      </c>
      <c r="AC7" s="69" t="s">
        <v>150</v>
      </c>
      <c r="AD7" s="69" t="s">
        <v>150</v>
      </c>
      <c r="AE7" s="69" t="s">
        <v>150</v>
      </c>
      <c r="AF7" s="69" t="s">
        <v>150</v>
      </c>
      <c r="AG7" s="69" t="s">
        <v>150</v>
      </c>
      <c r="AH7" s="69" t="s">
        <v>150</v>
      </c>
      <c r="AI7" s="69" t="s">
        <v>150</v>
      </c>
      <c r="AJ7" s="69" t="s">
        <v>150</v>
      </c>
      <c r="AK7" s="69" t="s">
        <v>150</v>
      </c>
      <c r="AL7" s="69" t="s">
        <v>150</v>
      </c>
      <c r="AM7" s="69" t="s">
        <v>150</v>
      </c>
      <c r="AN7" s="69" t="s">
        <v>150</v>
      </c>
      <c r="AO7" s="69" t="s">
        <v>150</v>
      </c>
      <c r="AP7" s="69" t="s">
        <v>150</v>
      </c>
      <c r="AQ7" s="69" t="s">
        <v>150</v>
      </c>
      <c r="AR7" s="69" t="s">
        <v>150</v>
      </c>
      <c r="AS7" s="69" t="s">
        <v>150</v>
      </c>
      <c r="AT7" s="69" t="s">
        <v>150</v>
      </c>
      <c r="AU7" s="69" t="s">
        <v>150</v>
      </c>
      <c r="AV7" s="69" t="s">
        <v>162</v>
      </c>
      <c r="AW7" s="278"/>
      <c r="AX7" s="71" t="s">
        <v>157</v>
      </c>
      <c r="AY7" s="70" t="s">
        <v>150</v>
      </c>
      <c r="AZ7" s="5"/>
      <c r="BA7" s="4"/>
      <c r="BB7" s="127"/>
      <c r="BC7" s="77"/>
    </row>
    <row r="8" spans="1:53" ht="13.5" thickBot="1">
      <c r="A8" s="102"/>
      <c r="B8" s="103"/>
      <c r="C8" s="103"/>
      <c r="D8" s="103"/>
      <c r="E8" s="103"/>
      <c r="F8" s="112"/>
      <c r="G8" s="112"/>
      <c r="H8" s="112"/>
      <c r="I8" s="113" t="s">
        <v>151</v>
      </c>
      <c r="J8" s="113"/>
      <c r="K8" s="292"/>
      <c r="L8" s="112"/>
      <c r="M8" s="112"/>
      <c r="N8" s="112"/>
      <c r="O8" s="112"/>
      <c r="P8" s="112"/>
      <c r="Q8" s="112"/>
      <c r="R8" s="112"/>
      <c r="S8" s="112"/>
      <c r="T8" s="112"/>
      <c r="U8" s="104"/>
      <c r="V8" s="112"/>
      <c r="W8" s="112"/>
      <c r="X8" s="113"/>
      <c r="Y8" s="113"/>
      <c r="Z8" s="113"/>
      <c r="AA8" s="112" t="s">
        <v>230</v>
      </c>
      <c r="AB8" s="112" t="s">
        <v>230</v>
      </c>
      <c r="AC8" s="112" t="s">
        <v>230</v>
      </c>
      <c r="AD8" s="112" t="s">
        <v>230</v>
      </c>
      <c r="AE8" s="112" t="s">
        <v>230</v>
      </c>
      <c r="AF8" s="112" t="s">
        <v>230</v>
      </c>
      <c r="AG8" s="112" t="s">
        <v>230</v>
      </c>
      <c r="AH8" s="112" t="s">
        <v>230</v>
      </c>
      <c r="AI8" s="112" t="s">
        <v>230</v>
      </c>
      <c r="AJ8" s="112" t="s">
        <v>230</v>
      </c>
      <c r="AK8" s="112" t="s">
        <v>230</v>
      </c>
      <c r="AL8" s="112" t="s">
        <v>230</v>
      </c>
      <c r="AM8" s="112" t="s">
        <v>230</v>
      </c>
      <c r="AN8" s="112" t="s">
        <v>230</v>
      </c>
      <c r="AO8" s="112" t="s">
        <v>230</v>
      </c>
      <c r="AP8" s="112" t="s">
        <v>230</v>
      </c>
      <c r="AQ8" s="112" t="s">
        <v>230</v>
      </c>
      <c r="AR8" s="112" t="s">
        <v>230</v>
      </c>
      <c r="AS8" s="112" t="s">
        <v>230</v>
      </c>
      <c r="AT8" s="112" t="s">
        <v>230</v>
      </c>
      <c r="AU8" s="112"/>
      <c r="AV8" s="112"/>
      <c r="AW8" s="279"/>
      <c r="AX8" s="367" t="s">
        <v>282</v>
      </c>
      <c r="AY8" s="366" t="s">
        <v>282</v>
      </c>
      <c r="AZ8" s="105"/>
      <c r="BA8" s="4"/>
    </row>
    <row r="9" spans="1:55" s="325" customFormat="1" ht="13.5">
      <c r="A9" s="317"/>
      <c r="B9" s="318"/>
      <c r="C9" s="318"/>
      <c r="D9" s="318"/>
      <c r="E9" s="318"/>
      <c r="F9" s="127"/>
      <c r="G9" s="127"/>
      <c r="H9" s="127"/>
      <c r="I9" s="242"/>
      <c r="J9" s="319"/>
      <c r="K9" s="320"/>
      <c r="L9" s="127"/>
      <c r="M9" s="127"/>
      <c r="N9" s="319"/>
      <c r="O9" s="127"/>
      <c r="P9" s="127"/>
      <c r="Q9" s="127"/>
      <c r="R9" s="127"/>
      <c r="S9" s="127"/>
      <c r="T9" s="127"/>
      <c r="U9" s="127" t="s">
        <v>51</v>
      </c>
      <c r="V9" s="127"/>
      <c r="W9" s="127" t="s">
        <v>158</v>
      </c>
      <c r="X9" s="242"/>
      <c r="Y9" s="242"/>
      <c r="Z9" s="242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 t="s">
        <v>69</v>
      </c>
      <c r="AV9" s="321" t="s">
        <v>70</v>
      </c>
      <c r="AW9" s="280"/>
      <c r="AX9" s="322"/>
      <c r="AY9" s="239"/>
      <c r="AZ9" s="323" t="s">
        <v>180</v>
      </c>
      <c r="BA9" s="324"/>
      <c r="BB9" s="1"/>
      <c r="BC9" s="9"/>
    </row>
    <row r="10" spans="1:55" s="325" customFormat="1" ht="12.75">
      <c r="A10" s="317"/>
      <c r="B10" s="318"/>
      <c r="C10" s="318"/>
      <c r="D10" s="318"/>
      <c r="E10" s="318"/>
      <c r="F10" s="127" t="s">
        <v>208</v>
      </c>
      <c r="G10" s="127" t="s">
        <v>51</v>
      </c>
      <c r="H10" s="127"/>
      <c r="I10" s="242" t="s">
        <v>71</v>
      </c>
      <c r="J10" s="319" t="s">
        <v>72</v>
      </c>
      <c r="K10" s="320"/>
      <c r="L10" s="127" t="s">
        <v>73</v>
      </c>
      <c r="M10" s="127" t="s">
        <v>211</v>
      </c>
      <c r="N10" s="319" t="s">
        <v>75</v>
      </c>
      <c r="O10" s="127"/>
      <c r="P10" s="127" t="s">
        <v>208</v>
      </c>
      <c r="Q10" s="127" t="s">
        <v>76</v>
      </c>
      <c r="R10" s="127" t="s">
        <v>77</v>
      </c>
      <c r="S10" s="127" t="s">
        <v>78</v>
      </c>
      <c r="T10" s="127" t="s">
        <v>160</v>
      </c>
      <c r="U10" s="127" t="s">
        <v>79</v>
      </c>
      <c r="V10" s="127" t="s">
        <v>80</v>
      </c>
      <c r="W10" s="127" t="s">
        <v>71</v>
      </c>
      <c r="X10" s="242" t="s">
        <v>160</v>
      </c>
      <c r="Y10" s="242" t="s">
        <v>160</v>
      </c>
      <c r="Z10" s="242" t="s">
        <v>160</v>
      </c>
      <c r="AA10" s="127" t="s">
        <v>229</v>
      </c>
      <c r="AB10" s="127" t="s">
        <v>249</v>
      </c>
      <c r="AC10" s="127" t="s">
        <v>252</v>
      </c>
      <c r="AD10" s="127" t="s">
        <v>250</v>
      </c>
      <c r="AE10" s="127" t="s">
        <v>251</v>
      </c>
      <c r="AF10" s="127" t="s">
        <v>257</v>
      </c>
      <c r="AG10" s="127" t="s">
        <v>258</v>
      </c>
      <c r="AH10" s="127" t="s">
        <v>259</v>
      </c>
      <c r="AI10" s="127" t="s">
        <v>271</v>
      </c>
      <c r="AJ10" s="127" t="s">
        <v>272</v>
      </c>
      <c r="AK10" s="127" t="s">
        <v>273</v>
      </c>
      <c r="AL10" s="127" t="s">
        <v>274</v>
      </c>
      <c r="AM10" s="127" t="s">
        <v>275</v>
      </c>
      <c r="AN10" s="127" t="s">
        <v>276</v>
      </c>
      <c r="AO10" s="127" t="s">
        <v>281</v>
      </c>
      <c r="AP10" s="127" t="s">
        <v>280</v>
      </c>
      <c r="AQ10" s="127"/>
      <c r="AR10" s="127"/>
      <c r="AS10" s="127"/>
      <c r="AT10" s="127"/>
      <c r="AU10" s="127" t="s">
        <v>81</v>
      </c>
      <c r="AV10" s="321" t="s">
        <v>82</v>
      </c>
      <c r="AW10" s="280"/>
      <c r="AX10" s="326" t="s">
        <v>156</v>
      </c>
      <c r="AY10" s="327" t="s">
        <v>154</v>
      </c>
      <c r="AZ10" s="328" t="s">
        <v>181</v>
      </c>
      <c r="BA10" s="127"/>
      <c r="BB10" s="126"/>
      <c r="BC10" s="9"/>
    </row>
    <row r="11" spans="1:55" s="325" customFormat="1" ht="12.75">
      <c r="A11" s="317"/>
      <c r="B11" s="318"/>
      <c r="C11" s="318" t="s">
        <v>83</v>
      </c>
      <c r="D11" s="318" t="s">
        <v>84</v>
      </c>
      <c r="E11" s="318"/>
      <c r="F11" s="127" t="s">
        <v>85</v>
      </c>
      <c r="G11" s="127" t="s">
        <v>79</v>
      </c>
      <c r="H11" s="127" t="s">
        <v>159</v>
      </c>
      <c r="I11" s="242" t="s">
        <v>86</v>
      </c>
      <c r="J11" s="319" t="s">
        <v>75</v>
      </c>
      <c r="K11" s="320"/>
      <c r="L11" s="127" t="s">
        <v>87</v>
      </c>
      <c r="M11" s="127" t="s">
        <v>88</v>
      </c>
      <c r="N11" s="319" t="s">
        <v>70</v>
      </c>
      <c r="O11" s="127"/>
      <c r="P11" s="127" t="s">
        <v>85</v>
      </c>
      <c r="Q11" s="127" t="s">
        <v>89</v>
      </c>
      <c r="R11" s="127" t="s">
        <v>90</v>
      </c>
      <c r="S11" s="127" t="s">
        <v>91</v>
      </c>
      <c r="T11" s="127" t="s">
        <v>200</v>
      </c>
      <c r="U11" s="127" t="s">
        <v>93</v>
      </c>
      <c r="V11" s="127" t="s">
        <v>94</v>
      </c>
      <c r="W11" s="127" t="s">
        <v>86</v>
      </c>
      <c r="X11" s="242" t="s">
        <v>200</v>
      </c>
      <c r="Y11" s="242" t="s">
        <v>200</v>
      </c>
      <c r="Z11" s="242" t="s">
        <v>200</v>
      </c>
      <c r="AA11" s="127" t="s">
        <v>161</v>
      </c>
      <c r="AB11" s="127" t="s">
        <v>161</v>
      </c>
      <c r="AC11" s="127" t="s">
        <v>161</v>
      </c>
      <c r="AD11" s="127" t="s">
        <v>161</v>
      </c>
      <c r="AE11" s="127" t="s">
        <v>161</v>
      </c>
      <c r="AF11" s="127" t="s">
        <v>161</v>
      </c>
      <c r="AG11" s="127" t="s">
        <v>161</v>
      </c>
      <c r="AH11" s="127" t="s">
        <v>161</v>
      </c>
      <c r="AI11" s="127" t="s">
        <v>161</v>
      </c>
      <c r="AJ11" s="127" t="s">
        <v>161</v>
      </c>
      <c r="AK11" s="127" t="s">
        <v>270</v>
      </c>
      <c r="AL11" s="127" t="s">
        <v>161</v>
      </c>
      <c r="AM11" s="127" t="s">
        <v>161</v>
      </c>
      <c r="AN11" s="127" t="s">
        <v>277</v>
      </c>
      <c r="AO11" s="127" t="s">
        <v>270</v>
      </c>
      <c r="AP11" s="127" t="s">
        <v>270</v>
      </c>
      <c r="AQ11" s="127"/>
      <c r="AR11" s="127"/>
      <c r="AS11" s="127"/>
      <c r="AT11" s="127"/>
      <c r="AU11" s="127" t="s">
        <v>95</v>
      </c>
      <c r="AV11" s="321" t="s">
        <v>163</v>
      </c>
      <c r="AW11" s="280"/>
      <c r="AX11" s="326" t="s">
        <v>105</v>
      </c>
      <c r="AY11" s="327" t="s">
        <v>143</v>
      </c>
      <c r="AZ11" s="328" t="s">
        <v>95</v>
      </c>
      <c r="BA11" s="127"/>
      <c r="BB11" s="126"/>
      <c r="BC11" s="9"/>
    </row>
    <row r="12" spans="1:55" s="325" customFormat="1" ht="13.5" thickBot="1">
      <c r="A12" s="329" t="s">
        <v>0</v>
      </c>
      <c r="B12" s="330" t="s">
        <v>111</v>
      </c>
      <c r="C12" s="330" t="s">
        <v>96</v>
      </c>
      <c r="D12" s="330" t="s">
        <v>97</v>
      </c>
      <c r="E12" s="330" t="s">
        <v>98</v>
      </c>
      <c r="F12" s="331" t="s">
        <v>99</v>
      </c>
      <c r="G12" s="331" t="s">
        <v>100</v>
      </c>
      <c r="H12" s="331" t="s">
        <v>51</v>
      </c>
      <c r="I12" s="332" t="s">
        <v>101</v>
      </c>
      <c r="J12" s="333" t="s">
        <v>102</v>
      </c>
      <c r="K12" s="334"/>
      <c r="L12" s="331" t="s">
        <v>103</v>
      </c>
      <c r="M12" s="331" t="s">
        <v>104</v>
      </c>
      <c r="N12" s="333" t="s">
        <v>105</v>
      </c>
      <c r="O12" s="331"/>
      <c r="P12" s="331" t="s">
        <v>99</v>
      </c>
      <c r="Q12" s="331" t="s">
        <v>106</v>
      </c>
      <c r="R12" s="331" t="s">
        <v>78</v>
      </c>
      <c r="S12" s="331" t="s">
        <v>107</v>
      </c>
      <c r="T12" s="331" t="s">
        <v>201</v>
      </c>
      <c r="U12" s="331" t="s">
        <v>109</v>
      </c>
      <c r="V12" s="331" t="s">
        <v>78</v>
      </c>
      <c r="W12" s="331" t="s">
        <v>101</v>
      </c>
      <c r="X12" s="332" t="s">
        <v>202</v>
      </c>
      <c r="Y12" s="332" t="s">
        <v>261</v>
      </c>
      <c r="Z12" s="332" t="s">
        <v>261</v>
      </c>
      <c r="AA12" s="331" t="s">
        <v>95</v>
      </c>
      <c r="AB12" s="331" t="s">
        <v>95</v>
      </c>
      <c r="AC12" s="331" t="s">
        <v>182</v>
      </c>
      <c r="AD12" s="331" t="s">
        <v>95</v>
      </c>
      <c r="AE12" s="331" t="s">
        <v>95</v>
      </c>
      <c r="AF12" s="331" t="s">
        <v>95</v>
      </c>
      <c r="AG12" s="331" t="s">
        <v>95</v>
      </c>
      <c r="AH12" s="331" t="s">
        <v>95</v>
      </c>
      <c r="AI12" s="331" t="s">
        <v>95</v>
      </c>
      <c r="AJ12" s="331" t="s">
        <v>95</v>
      </c>
      <c r="AK12" s="331" t="s">
        <v>95</v>
      </c>
      <c r="AL12" s="331" t="s">
        <v>95</v>
      </c>
      <c r="AM12" s="331" t="s">
        <v>95</v>
      </c>
      <c r="AN12" s="331" t="s">
        <v>278</v>
      </c>
      <c r="AO12" s="331" t="s">
        <v>95</v>
      </c>
      <c r="AP12" s="331" t="s">
        <v>95</v>
      </c>
      <c r="AQ12" s="331" t="s">
        <v>95</v>
      </c>
      <c r="AR12" s="331" t="s">
        <v>95</v>
      </c>
      <c r="AS12" s="331" t="s">
        <v>95</v>
      </c>
      <c r="AT12" s="331" t="s">
        <v>95</v>
      </c>
      <c r="AU12" s="331" t="s">
        <v>110</v>
      </c>
      <c r="AV12" s="335" t="s">
        <v>155</v>
      </c>
      <c r="AW12" s="336"/>
      <c r="AX12" s="337" t="s">
        <v>155</v>
      </c>
      <c r="AY12" s="338" t="s">
        <v>190</v>
      </c>
      <c r="AZ12" s="339" t="s">
        <v>110</v>
      </c>
      <c r="BA12" s="127"/>
      <c r="BB12" s="120" t="s">
        <v>231</v>
      </c>
      <c r="BC12" s="9"/>
    </row>
    <row r="13" spans="1:55" ht="12.75">
      <c r="A13" s="66"/>
      <c r="B13" s="67"/>
      <c r="C13" s="67"/>
      <c r="D13" s="67"/>
      <c r="E13" s="3"/>
      <c r="F13" s="4"/>
      <c r="G13" s="4"/>
      <c r="H13" s="4"/>
      <c r="I13" s="68"/>
      <c r="J13" s="72"/>
      <c r="K13" s="293"/>
      <c r="L13" s="4"/>
      <c r="M13" s="4"/>
      <c r="N13" s="72"/>
      <c r="O13" s="4"/>
      <c r="P13" s="4"/>
      <c r="Q13" s="4"/>
      <c r="R13" s="4"/>
      <c r="S13" s="4"/>
      <c r="T13" s="4"/>
      <c r="U13" s="4"/>
      <c r="V13" s="4"/>
      <c r="W13" s="4"/>
      <c r="X13" s="68"/>
      <c r="Y13" s="68"/>
      <c r="Z13" s="68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232"/>
      <c r="AW13" s="278"/>
      <c r="AX13" s="271"/>
      <c r="AY13" s="220"/>
      <c r="AZ13" s="5"/>
      <c r="BA13" s="4"/>
      <c r="BB13" s="126" t="s">
        <v>155</v>
      </c>
      <c r="BC13" s="9">
        <v>1002</v>
      </c>
    </row>
    <row r="14" spans="1:57" ht="12.75">
      <c r="A14" s="73" t="s">
        <v>1</v>
      </c>
      <c r="B14" s="67" t="s">
        <v>3</v>
      </c>
      <c r="C14" s="74" t="s">
        <v>30</v>
      </c>
      <c r="D14" s="74" t="s">
        <v>30</v>
      </c>
      <c r="E14" s="75" t="s">
        <v>12</v>
      </c>
      <c r="F14" s="4">
        <v>105946</v>
      </c>
      <c r="G14" s="4">
        <v>0</v>
      </c>
      <c r="H14" s="4">
        <f>SUM(F14:G14)</f>
        <v>105946</v>
      </c>
      <c r="I14" s="68">
        <v>0</v>
      </c>
      <c r="J14" s="72">
        <f>SUM(H14:I14)</f>
        <v>105946</v>
      </c>
      <c r="K14" s="293"/>
      <c r="L14" s="4">
        <v>0</v>
      </c>
      <c r="M14" s="4">
        <v>-312</v>
      </c>
      <c r="N14" s="72">
        <f>SUM(J14:M14)</f>
        <v>105634</v>
      </c>
      <c r="O14" s="4"/>
      <c r="P14" s="4">
        <f>SUM(F14)</f>
        <v>105946</v>
      </c>
      <c r="Q14" s="4">
        <f>SUM(J14)</f>
        <v>105946</v>
      </c>
      <c r="R14" s="4">
        <f>SUM(L14+M14)</f>
        <v>-312</v>
      </c>
      <c r="S14" s="4">
        <v>0</v>
      </c>
      <c r="T14" s="4">
        <v>0</v>
      </c>
      <c r="U14" s="4">
        <f>SUM(Q14:T14)</f>
        <v>105634</v>
      </c>
      <c r="V14" s="4">
        <v>0</v>
      </c>
      <c r="W14" s="4">
        <v>0</v>
      </c>
      <c r="X14" s="68">
        <v>0</v>
      </c>
      <c r="Y14" s="68">
        <v>0</v>
      </c>
      <c r="Z14" s="68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-2300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f>SUM(AY14-AX14)</f>
        <v>-512</v>
      </c>
      <c r="AV14" s="232">
        <f>SUM(U14:AU14)</f>
        <v>102822</v>
      </c>
      <c r="AW14" s="278"/>
      <c r="AX14" s="271">
        <f>105634-2300</f>
        <v>103334</v>
      </c>
      <c r="AY14" s="220">
        <f>105634-2972-1601+19+1742</f>
        <v>102822</v>
      </c>
      <c r="AZ14" s="5">
        <f>SUM(AY14-AX14)</f>
        <v>-512</v>
      </c>
      <c r="BA14" s="68"/>
      <c r="BB14" s="229"/>
      <c r="BC14" s="230"/>
      <c r="BD14" s="238"/>
      <c r="BE14" s="238"/>
    </row>
    <row r="15" spans="1:57" ht="13.5" thickBot="1">
      <c r="A15" s="73"/>
      <c r="B15" s="67"/>
      <c r="C15" s="74"/>
      <c r="D15" s="74"/>
      <c r="E15" s="75" t="s">
        <v>191</v>
      </c>
      <c r="F15" s="4">
        <v>0</v>
      </c>
      <c r="G15" s="4">
        <v>0</v>
      </c>
      <c r="H15" s="4">
        <f>SUM(F15:G15)</f>
        <v>0</v>
      </c>
      <c r="I15" s="68">
        <v>0</v>
      </c>
      <c r="J15" s="72">
        <f>SUM(H15:I15)</f>
        <v>0</v>
      </c>
      <c r="K15" s="293"/>
      <c r="L15" s="4">
        <v>0</v>
      </c>
      <c r="M15" s="4">
        <v>0</v>
      </c>
      <c r="N15" s="72">
        <v>0</v>
      </c>
      <c r="O15" s="4"/>
      <c r="P15" s="4">
        <f>SUM(F15)</f>
        <v>0</v>
      </c>
      <c r="Q15" s="4">
        <f>SUM(J15)</f>
        <v>0</v>
      </c>
      <c r="R15" s="4">
        <f>SUM(L15+M15)</f>
        <v>0</v>
      </c>
      <c r="S15" s="4">
        <v>0</v>
      </c>
      <c r="T15" s="4">
        <v>0</v>
      </c>
      <c r="U15" s="4">
        <f>SUM(Q15:T15)</f>
        <v>0</v>
      </c>
      <c r="V15" s="4">
        <v>0</v>
      </c>
      <c r="W15" s="4">
        <v>0</v>
      </c>
      <c r="X15" s="68">
        <v>0</v>
      </c>
      <c r="Y15" s="68">
        <v>0</v>
      </c>
      <c r="Z15" s="68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f>SUM(AY15-AX15)</f>
        <v>512</v>
      </c>
      <c r="AV15" s="232">
        <f>SUM(U15:AU15)</f>
        <v>512</v>
      </c>
      <c r="AW15" s="278"/>
      <c r="AX15" s="271">
        <v>0</v>
      </c>
      <c r="AY15" s="220">
        <f>2600+372-699-19-1742</f>
        <v>512</v>
      </c>
      <c r="AZ15" s="5">
        <f>SUM(AY15-AX15)</f>
        <v>512</v>
      </c>
      <c r="BA15" s="68"/>
      <c r="BB15" s="229"/>
      <c r="BC15" s="230"/>
      <c r="BD15" s="238"/>
      <c r="BE15" s="238"/>
    </row>
    <row r="16" spans="1:57" s="11" customFormat="1" ht="13.5" thickBot="1">
      <c r="A16" s="48"/>
      <c r="B16" s="295"/>
      <c r="C16" s="295"/>
      <c r="D16" s="295"/>
      <c r="E16" s="296" t="s">
        <v>113</v>
      </c>
      <c r="F16" s="297">
        <f>SUM(F14:F15)</f>
        <v>105946</v>
      </c>
      <c r="G16" s="297">
        <f>SUM(G14)</f>
        <v>0</v>
      </c>
      <c r="H16" s="297">
        <f>SUM(H14)</f>
        <v>105946</v>
      </c>
      <c r="I16" s="298">
        <f>SUM(I14)</f>
        <v>0</v>
      </c>
      <c r="J16" s="299">
        <f>SUM(H16:I16)</f>
        <v>105946</v>
      </c>
      <c r="K16" s="300"/>
      <c r="L16" s="297">
        <f>SUM(L14)</f>
        <v>0</v>
      </c>
      <c r="M16" s="297">
        <f>SUM(M14)</f>
        <v>-312</v>
      </c>
      <c r="N16" s="299">
        <f>SUM(N14)</f>
        <v>105634</v>
      </c>
      <c r="O16" s="297"/>
      <c r="P16" s="297">
        <f>SUM(F16)</f>
        <v>105946</v>
      </c>
      <c r="Q16" s="297">
        <f>SUM(J16)</f>
        <v>105946</v>
      </c>
      <c r="R16" s="297">
        <f>SUM(L16+M16)</f>
        <v>-312</v>
      </c>
      <c r="S16" s="297">
        <f>SUM(S14)</f>
        <v>0</v>
      </c>
      <c r="T16" s="297">
        <f>SUM(T14)</f>
        <v>0</v>
      </c>
      <c r="U16" s="297">
        <f>SUM(Q16:T16)</f>
        <v>105634</v>
      </c>
      <c r="V16" s="297">
        <f aca="true" t="shared" si="0" ref="V16:AF16">SUM(V14)</f>
        <v>0</v>
      </c>
      <c r="W16" s="297">
        <f t="shared" si="0"/>
        <v>0</v>
      </c>
      <c r="X16" s="298">
        <f t="shared" si="0"/>
        <v>0</v>
      </c>
      <c r="Y16" s="298">
        <f>SUM(Y14)</f>
        <v>0</v>
      </c>
      <c r="Z16" s="298">
        <f>SUM(Z14)</f>
        <v>0</v>
      </c>
      <c r="AA16" s="297">
        <f t="shared" si="0"/>
        <v>0</v>
      </c>
      <c r="AB16" s="297">
        <f t="shared" si="0"/>
        <v>0</v>
      </c>
      <c r="AC16" s="297">
        <f t="shared" si="0"/>
        <v>0</v>
      </c>
      <c r="AD16" s="297">
        <f t="shared" si="0"/>
        <v>0</v>
      </c>
      <c r="AE16" s="297">
        <f t="shared" si="0"/>
        <v>0</v>
      </c>
      <c r="AF16" s="297">
        <f t="shared" si="0"/>
        <v>0</v>
      </c>
      <c r="AG16" s="297">
        <f aca="true" t="shared" si="1" ref="AG16:AT16">SUM(AG14)</f>
        <v>0</v>
      </c>
      <c r="AH16" s="297">
        <f t="shared" si="1"/>
        <v>0</v>
      </c>
      <c r="AI16" s="297">
        <f t="shared" si="1"/>
        <v>0</v>
      </c>
      <c r="AJ16" s="297">
        <f t="shared" si="1"/>
        <v>0</v>
      </c>
      <c r="AK16" s="297">
        <f t="shared" si="1"/>
        <v>-2300</v>
      </c>
      <c r="AL16" s="297">
        <f t="shared" si="1"/>
        <v>0</v>
      </c>
      <c r="AM16" s="297">
        <f t="shared" si="1"/>
        <v>0</v>
      </c>
      <c r="AN16" s="297">
        <f t="shared" si="1"/>
        <v>0</v>
      </c>
      <c r="AO16" s="297">
        <f t="shared" si="1"/>
        <v>0</v>
      </c>
      <c r="AP16" s="297">
        <f t="shared" si="1"/>
        <v>0</v>
      </c>
      <c r="AQ16" s="297">
        <f t="shared" si="1"/>
        <v>0</v>
      </c>
      <c r="AR16" s="297">
        <f t="shared" si="1"/>
        <v>0</v>
      </c>
      <c r="AS16" s="297">
        <f t="shared" si="1"/>
        <v>0</v>
      </c>
      <c r="AT16" s="297">
        <f t="shared" si="1"/>
        <v>0</v>
      </c>
      <c r="AU16" s="297">
        <f>SUM(AU14:AU15)</f>
        <v>0</v>
      </c>
      <c r="AV16" s="301">
        <f>SUM(AV14:AV15)</f>
        <v>103334</v>
      </c>
      <c r="AW16" s="302"/>
      <c r="AX16" s="303">
        <f>SUM(AX14:AX15)</f>
        <v>103334</v>
      </c>
      <c r="AY16" s="304">
        <f>SUM(AY14:AY15)</f>
        <v>103334</v>
      </c>
      <c r="AZ16" s="305">
        <f>SUM(AZ14:AZ15)</f>
        <v>0</v>
      </c>
      <c r="BA16" s="79"/>
      <c r="BB16" s="129"/>
      <c r="BC16" s="230"/>
      <c r="BD16" s="52"/>
      <c r="BE16" s="52"/>
    </row>
    <row r="17" spans="1:57" ht="12.75">
      <c r="A17" s="66"/>
      <c r="B17" s="67"/>
      <c r="C17" s="67"/>
      <c r="D17" s="67"/>
      <c r="E17" s="3"/>
      <c r="F17" s="4"/>
      <c r="G17" s="4"/>
      <c r="H17" s="4"/>
      <c r="I17" s="68"/>
      <c r="J17" s="72"/>
      <c r="K17" s="293"/>
      <c r="L17" s="4"/>
      <c r="M17" s="4"/>
      <c r="N17" s="72"/>
      <c r="O17" s="4"/>
      <c r="P17" s="4"/>
      <c r="Q17" s="4"/>
      <c r="R17" s="4"/>
      <c r="S17" s="4"/>
      <c r="T17" s="4"/>
      <c r="U17" s="4"/>
      <c r="V17" s="4"/>
      <c r="W17" s="4"/>
      <c r="X17" s="68"/>
      <c r="Y17" s="68"/>
      <c r="Z17" s="68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32"/>
      <c r="AW17" s="278"/>
      <c r="AX17" s="271"/>
      <c r="AY17" s="220"/>
      <c r="AZ17" s="5"/>
      <c r="BA17" s="68"/>
      <c r="BB17" s="229"/>
      <c r="BC17" s="230"/>
      <c r="BD17" s="238"/>
      <c r="BE17" s="238"/>
    </row>
    <row r="18" spans="1:57" ht="12.75">
      <c r="A18" s="73" t="s">
        <v>1</v>
      </c>
      <c r="B18" s="67" t="s">
        <v>2</v>
      </c>
      <c r="C18" s="74" t="s">
        <v>30</v>
      </c>
      <c r="D18" s="74" t="s">
        <v>114</v>
      </c>
      <c r="E18" s="3" t="s">
        <v>116</v>
      </c>
      <c r="F18" s="4">
        <v>0</v>
      </c>
      <c r="G18" s="4">
        <v>0</v>
      </c>
      <c r="H18" s="4">
        <v>0</v>
      </c>
      <c r="I18" s="68">
        <v>0</v>
      </c>
      <c r="J18" s="72">
        <f>SUM(H18:I18)</f>
        <v>0</v>
      </c>
      <c r="K18" s="293"/>
      <c r="L18" s="4">
        <v>0</v>
      </c>
      <c r="M18" s="4">
        <v>0</v>
      </c>
      <c r="N18" s="72">
        <f>SUM(J18:M18)</f>
        <v>0</v>
      </c>
      <c r="O18" s="4"/>
      <c r="P18" s="4">
        <f>SUM(F18)</f>
        <v>0</v>
      </c>
      <c r="Q18" s="4">
        <f>SUM(J18)</f>
        <v>0</v>
      </c>
      <c r="R18" s="4">
        <f>SUM(L18+M18)</f>
        <v>0</v>
      </c>
      <c r="S18" s="4">
        <v>0</v>
      </c>
      <c r="T18" s="4">
        <v>0</v>
      </c>
      <c r="U18" s="4">
        <f>SUM(Q18:T18)</f>
        <v>0</v>
      </c>
      <c r="V18" s="4">
        <v>0</v>
      </c>
      <c r="W18" s="4">
        <v>0</v>
      </c>
      <c r="X18" s="68">
        <v>0</v>
      </c>
      <c r="Y18" s="68">
        <v>0</v>
      </c>
      <c r="Z18" s="68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f>SUM(AY18-AX18)</f>
        <v>0</v>
      </c>
      <c r="AV18" s="232">
        <f>SUM(U18:AU18)</f>
        <v>0</v>
      </c>
      <c r="AW18" s="278"/>
      <c r="AX18" s="271">
        <f>0</f>
        <v>0</v>
      </c>
      <c r="AY18" s="220">
        <v>0</v>
      </c>
      <c r="AZ18" s="5">
        <f>SUM(AY18-AX18)</f>
        <v>0</v>
      </c>
      <c r="BA18" s="68"/>
      <c r="BB18" s="229"/>
      <c r="BC18" s="230"/>
      <c r="BD18" s="238"/>
      <c r="BE18" s="238"/>
    </row>
    <row r="19" spans="1:57" ht="13.5" thickBot="1">
      <c r="A19" s="66"/>
      <c r="B19" s="67"/>
      <c r="C19" s="67"/>
      <c r="D19" s="74" t="s">
        <v>115</v>
      </c>
      <c r="E19" s="3" t="s">
        <v>12</v>
      </c>
      <c r="F19" s="4">
        <v>26649</v>
      </c>
      <c r="G19" s="4">
        <v>0</v>
      </c>
      <c r="H19" s="4">
        <v>26649</v>
      </c>
      <c r="I19" s="68">
        <v>0</v>
      </c>
      <c r="J19" s="72">
        <f>SUM(H19:I19)</f>
        <v>26649</v>
      </c>
      <c r="K19" s="293"/>
      <c r="L19" s="4">
        <v>0</v>
      </c>
      <c r="M19" s="4">
        <v>-79</v>
      </c>
      <c r="N19" s="72">
        <f>SUM(J19:M19)</f>
        <v>26570</v>
      </c>
      <c r="O19" s="4"/>
      <c r="P19" s="4">
        <f>SUM(F19)</f>
        <v>26649</v>
      </c>
      <c r="Q19" s="4">
        <f>SUM(J19)</f>
        <v>26649</v>
      </c>
      <c r="R19" s="4">
        <f>SUM(L19+M19)</f>
        <v>-79</v>
      </c>
      <c r="S19" s="4">
        <v>0</v>
      </c>
      <c r="T19" s="4">
        <v>0</v>
      </c>
      <c r="U19" s="4">
        <f>SUM(Q19:T19)</f>
        <v>26570</v>
      </c>
      <c r="V19" s="4">
        <v>0</v>
      </c>
      <c r="W19" s="4">
        <v>0</v>
      </c>
      <c r="X19" s="68">
        <v>0</v>
      </c>
      <c r="Y19" s="68">
        <v>0</v>
      </c>
      <c r="Z19" s="68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f>SUM(AY19-AX19)</f>
        <v>0</v>
      </c>
      <c r="AV19" s="232">
        <f>SUM(U19:AU19)</f>
        <v>26570</v>
      </c>
      <c r="AW19" s="278"/>
      <c r="AX19" s="271">
        <v>26570</v>
      </c>
      <c r="AY19" s="220">
        <v>26570</v>
      </c>
      <c r="AZ19" s="5">
        <f>SUM(AY19-AX19)</f>
        <v>0</v>
      </c>
      <c r="BA19" s="68"/>
      <c r="BB19" s="229"/>
      <c r="BC19" s="230"/>
      <c r="BD19" s="238"/>
      <c r="BE19" s="238"/>
    </row>
    <row r="20" spans="1:57" s="11" customFormat="1" ht="13.5" thickBot="1">
      <c r="A20" s="48"/>
      <c r="B20" s="295"/>
      <c r="C20" s="295"/>
      <c r="D20" s="295"/>
      <c r="E20" s="306" t="s">
        <v>49</v>
      </c>
      <c r="F20" s="297">
        <f>SUM(F18:F19)</f>
        <v>26649</v>
      </c>
      <c r="G20" s="297">
        <f>SUM(G18:G19)</f>
        <v>0</v>
      </c>
      <c r="H20" s="297">
        <f>SUM(H18:H19)</f>
        <v>26649</v>
      </c>
      <c r="I20" s="298">
        <f>SUM(I18:I19)</f>
        <v>0</v>
      </c>
      <c r="J20" s="299">
        <f>SUM(H20:I20)</f>
        <v>26649</v>
      </c>
      <c r="K20" s="300"/>
      <c r="L20" s="297">
        <f>SUM(L18:L19)</f>
        <v>0</v>
      </c>
      <c r="M20" s="297">
        <f>SUM(M18:M19)</f>
        <v>-79</v>
      </c>
      <c r="N20" s="299">
        <f>SUM(N19)</f>
        <v>26570</v>
      </c>
      <c r="O20" s="297"/>
      <c r="P20" s="297">
        <f>SUM(F20)</f>
        <v>26649</v>
      </c>
      <c r="Q20" s="297">
        <f>SUM(J20)</f>
        <v>26649</v>
      </c>
      <c r="R20" s="297">
        <f>SUM(L20+M20)</f>
        <v>-79</v>
      </c>
      <c r="S20" s="297">
        <f>SUM(S18:S19)</f>
        <v>0</v>
      </c>
      <c r="T20" s="297">
        <f>SUM(T18:T19)</f>
        <v>0</v>
      </c>
      <c r="U20" s="297">
        <f>SUM(Q20:T20)</f>
        <v>26570</v>
      </c>
      <c r="V20" s="297">
        <f aca="true" t="shared" si="2" ref="V20:AF20">SUM(V18:V19)</f>
        <v>0</v>
      </c>
      <c r="W20" s="297">
        <f t="shared" si="2"/>
        <v>0</v>
      </c>
      <c r="X20" s="298">
        <f t="shared" si="2"/>
        <v>0</v>
      </c>
      <c r="Y20" s="298">
        <f>SUM(Y18:Y19)</f>
        <v>0</v>
      </c>
      <c r="Z20" s="298">
        <f>SUM(Z18:Z19)</f>
        <v>0</v>
      </c>
      <c r="AA20" s="297">
        <f t="shared" si="2"/>
        <v>0</v>
      </c>
      <c r="AB20" s="297">
        <f t="shared" si="2"/>
        <v>0</v>
      </c>
      <c r="AC20" s="297">
        <f t="shared" si="2"/>
        <v>0</v>
      </c>
      <c r="AD20" s="297">
        <f t="shared" si="2"/>
        <v>0</v>
      </c>
      <c r="AE20" s="297">
        <f t="shared" si="2"/>
        <v>0</v>
      </c>
      <c r="AF20" s="297">
        <f t="shared" si="2"/>
        <v>0</v>
      </c>
      <c r="AG20" s="297">
        <f aca="true" t="shared" si="3" ref="AG20:AT20">SUM(AG18:AG19)</f>
        <v>0</v>
      </c>
      <c r="AH20" s="297">
        <f t="shared" si="3"/>
        <v>0</v>
      </c>
      <c r="AI20" s="297">
        <f t="shared" si="3"/>
        <v>0</v>
      </c>
      <c r="AJ20" s="297">
        <f t="shared" si="3"/>
        <v>0</v>
      </c>
      <c r="AK20" s="297">
        <f t="shared" si="3"/>
        <v>0</v>
      </c>
      <c r="AL20" s="297">
        <f t="shared" si="3"/>
        <v>0</v>
      </c>
      <c r="AM20" s="297">
        <f t="shared" si="3"/>
        <v>0</v>
      </c>
      <c r="AN20" s="297">
        <f t="shared" si="3"/>
        <v>0</v>
      </c>
      <c r="AO20" s="297">
        <f t="shared" si="3"/>
        <v>0</v>
      </c>
      <c r="AP20" s="297">
        <f t="shared" si="3"/>
        <v>0</v>
      </c>
      <c r="AQ20" s="297">
        <f t="shared" si="3"/>
        <v>0</v>
      </c>
      <c r="AR20" s="297">
        <f t="shared" si="3"/>
        <v>0</v>
      </c>
      <c r="AS20" s="297">
        <f t="shared" si="3"/>
        <v>0</v>
      </c>
      <c r="AT20" s="297">
        <f t="shared" si="3"/>
        <v>0</v>
      </c>
      <c r="AU20" s="297">
        <f>SUM(AU18:AU19)</f>
        <v>0</v>
      </c>
      <c r="AV20" s="301">
        <f>SUM(AV18:AV19)</f>
        <v>26570</v>
      </c>
      <c r="AW20" s="302"/>
      <c r="AX20" s="303">
        <f>SUM(AX18:AX19)</f>
        <v>26570</v>
      </c>
      <c r="AY20" s="304">
        <f>SUM(AY18:AY19)</f>
        <v>26570</v>
      </c>
      <c r="AZ20" s="305">
        <f>SUM(AZ18:AZ19)</f>
        <v>0</v>
      </c>
      <c r="BA20" s="79"/>
      <c r="BB20" s="129"/>
      <c r="BC20" s="230"/>
      <c r="BD20" s="52"/>
      <c r="BE20" s="52"/>
    </row>
    <row r="21" spans="1:57" ht="12.75">
      <c r="A21" s="66"/>
      <c r="B21" s="67"/>
      <c r="C21" s="67"/>
      <c r="D21" s="67"/>
      <c r="E21" s="3"/>
      <c r="F21" s="4"/>
      <c r="G21" s="4"/>
      <c r="H21" s="4"/>
      <c r="I21" s="68"/>
      <c r="J21" s="72"/>
      <c r="K21" s="293"/>
      <c r="L21" s="4"/>
      <c r="M21" s="4"/>
      <c r="N21" s="72"/>
      <c r="O21" s="4"/>
      <c r="P21" s="4"/>
      <c r="Q21" s="4"/>
      <c r="R21" s="4"/>
      <c r="S21" s="4"/>
      <c r="T21" s="4"/>
      <c r="U21" s="4"/>
      <c r="V21" s="4"/>
      <c r="W21" s="4"/>
      <c r="X21" s="68"/>
      <c r="Y21" s="68"/>
      <c r="Z21" s="68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232"/>
      <c r="AW21" s="278"/>
      <c r="AX21" s="271"/>
      <c r="AY21" s="220"/>
      <c r="AZ21" s="5"/>
      <c r="BA21" s="68"/>
      <c r="BB21" s="229"/>
      <c r="BC21" s="230"/>
      <c r="BD21" s="238"/>
      <c r="BE21" s="238"/>
    </row>
    <row r="22" spans="1:57" ht="12.75">
      <c r="A22" s="73" t="s">
        <v>1</v>
      </c>
      <c r="B22" s="67" t="s">
        <v>5</v>
      </c>
      <c r="C22" s="74" t="s">
        <v>30</v>
      </c>
      <c r="D22" s="67">
        <v>11</v>
      </c>
      <c r="E22" s="3" t="s">
        <v>6</v>
      </c>
      <c r="F22" s="4">
        <v>54934</v>
      </c>
      <c r="G22" s="4">
        <f>-3200-3000</f>
        <v>-6200</v>
      </c>
      <c r="H22" s="4">
        <f aca="true" t="shared" si="4" ref="H22:H32">SUM(F22:G22)</f>
        <v>48734</v>
      </c>
      <c r="I22" s="68">
        <v>0</v>
      </c>
      <c r="J22" s="72">
        <f aca="true" t="shared" si="5" ref="J22:J32">SUM(H22:I22)</f>
        <v>48734</v>
      </c>
      <c r="K22" s="293"/>
      <c r="L22" s="4">
        <v>0</v>
      </c>
      <c r="M22" s="4">
        <v>-144</v>
      </c>
      <c r="N22" s="72">
        <f aca="true" t="shared" si="6" ref="N22:N32">SUM(J22:M22)</f>
        <v>48590</v>
      </c>
      <c r="O22" s="4"/>
      <c r="P22" s="4">
        <f aca="true" t="shared" si="7" ref="P22:P32">SUM(F22)</f>
        <v>54934</v>
      </c>
      <c r="Q22" s="4">
        <f aca="true" t="shared" si="8" ref="Q22:Q32">SUM(J22)</f>
        <v>48734</v>
      </c>
      <c r="R22" s="4">
        <f aca="true" t="shared" si="9" ref="R22:R30">SUM(L22+M22)</f>
        <v>-144</v>
      </c>
      <c r="S22" s="4">
        <v>0</v>
      </c>
      <c r="T22" s="4">
        <v>0</v>
      </c>
      <c r="U22" s="4">
        <f aca="true" t="shared" si="10" ref="U22:U30">SUM(Q22:T22)</f>
        <v>48590</v>
      </c>
      <c r="V22" s="4">
        <v>0</v>
      </c>
      <c r="W22" s="4">
        <v>0</v>
      </c>
      <c r="X22" s="68">
        <v>0</v>
      </c>
      <c r="Y22" s="68">
        <v>0</v>
      </c>
      <c r="Z22" s="68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f>SUM(AY22-AX22)</f>
        <v>-1333</v>
      </c>
      <c r="AV22" s="232">
        <f aca="true" t="shared" si="11" ref="AV22:AV29">SUM(U22:AU22)</f>
        <v>47257</v>
      </c>
      <c r="AW22" s="278"/>
      <c r="AX22" s="271">
        <v>48590</v>
      </c>
      <c r="AY22" s="220">
        <f>47354-68+595-3000+396-20+2000</f>
        <v>47257</v>
      </c>
      <c r="AZ22" s="5">
        <f aca="true" t="shared" si="12" ref="AZ22:AZ32">SUM(AY22-AX22)</f>
        <v>-1333</v>
      </c>
      <c r="BA22" s="68"/>
      <c r="BB22" s="129"/>
      <c r="BC22" s="230"/>
      <c r="BD22" s="238"/>
      <c r="BE22" s="238"/>
    </row>
    <row r="23" spans="1:57" ht="12.75">
      <c r="A23" s="66"/>
      <c r="B23" s="67" t="s">
        <v>5</v>
      </c>
      <c r="C23" s="74" t="s">
        <v>30</v>
      </c>
      <c r="D23" s="67">
        <v>13</v>
      </c>
      <c r="E23" s="3" t="s">
        <v>248</v>
      </c>
      <c r="F23" s="4">
        <v>10973</v>
      </c>
      <c r="G23" s="4">
        <v>0</v>
      </c>
      <c r="H23" s="4">
        <f t="shared" si="4"/>
        <v>10973</v>
      </c>
      <c r="I23" s="68">
        <v>0</v>
      </c>
      <c r="J23" s="72">
        <f t="shared" si="5"/>
        <v>10973</v>
      </c>
      <c r="K23" s="293"/>
      <c r="L23" s="4">
        <v>0</v>
      </c>
      <c r="M23" s="4">
        <v>-32</v>
      </c>
      <c r="N23" s="72">
        <f t="shared" si="6"/>
        <v>10941</v>
      </c>
      <c r="O23" s="4"/>
      <c r="P23" s="4">
        <f t="shared" si="7"/>
        <v>10973</v>
      </c>
      <c r="Q23" s="4">
        <f t="shared" si="8"/>
        <v>10973</v>
      </c>
      <c r="R23" s="4">
        <f t="shared" si="9"/>
        <v>-32</v>
      </c>
      <c r="S23" s="4">
        <v>0</v>
      </c>
      <c r="T23" s="4">
        <v>0</v>
      </c>
      <c r="U23" s="4">
        <f t="shared" si="10"/>
        <v>10941</v>
      </c>
      <c r="V23" s="4">
        <v>0</v>
      </c>
      <c r="W23" s="4">
        <v>0</v>
      </c>
      <c r="X23" s="68">
        <v>0</v>
      </c>
      <c r="Y23" s="68">
        <v>0</v>
      </c>
      <c r="Z23" s="68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f aca="true" t="shared" si="13" ref="AU23:AU29">SUM(AY23-AX23)</f>
        <v>-2151</v>
      </c>
      <c r="AV23" s="232">
        <f t="shared" si="11"/>
        <v>8790</v>
      </c>
      <c r="AW23" s="278"/>
      <c r="AX23" s="271">
        <v>10941</v>
      </c>
      <c r="AY23" s="220">
        <f>10441-200-1200-251</f>
        <v>8790</v>
      </c>
      <c r="AZ23" s="5">
        <f t="shared" si="12"/>
        <v>-2151</v>
      </c>
      <c r="BA23" s="68"/>
      <c r="BB23" s="129"/>
      <c r="BC23" s="230"/>
      <c r="BD23" s="238"/>
      <c r="BE23" s="238"/>
    </row>
    <row r="24" spans="1:57" ht="12.75">
      <c r="A24" s="66"/>
      <c r="B24" s="67" t="s">
        <v>5</v>
      </c>
      <c r="C24" s="74" t="s">
        <v>30</v>
      </c>
      <c r="D24" s="67">
        <v>14</v>
      </c>
      <c r="E24" s="3" t="s">
        <v>7</v>
      </c>
      <c r="F24" s="4">
        <v>2788</v>
      </c>
      <c r="G24" s="4">
        <v>0</v>
      </c>
      <c r="H24" s="4">
        <f t="shared" si="4"/>
        <v>2788</v>
      </c>
      <c r="I24" s="68">
        <v>0</v>
      </c>
      <c r="J24" s="72">
        <f t="shared" si="5"/>
        <v>2788</v>
      </c>
      <c r="K24" s="293"/>
      <c r="L24" s="4">
        <v>0</v>
      </c>
      <c r="M24" s="4">
        <v>-8</v>
      </c>
      <c r="N24" s="72">
        <f t="shared" si="6"/>
        <v>2780</v>
      </c>
      <c r="O24" s="4"/>
      <c r="P24" s="4">
        <f t="shared" si="7"/>
        <v>2788</v>
      </c>
      <c r="Q24" s="4">
        <f t="shared" si="8"/>
        <v>2788</v>
      </c>
      <c r="R24" s="4">
        <f t="shared" si="9"/>
        <v>-8</v>
      </c>
      <c r="S24" s="4">
        <v>0</v>
      </c>
      <c r="T24" s="4">
        <v>0</v>
      </c>
      <c r="U24" s="4">
        <f t="shared" si="10"/>
        <v>2780</v>
      </c>
      <c r="V24" s="4">
        <v>0</v>
      </c>
      <c r="W24" s="4">
        <v>0</v>
      </c>
      <c r="X24" s="68">
        <v>0</v>
      </c>
      <c r="Y24" s="68">
        <v>0</v>
      </c>
      <c r="Z24" s="68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200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f t="shared" si="13"/>
        <v>-111</v>
      </c>
      <c r="AV24" s="232">
        <f t="shared" si="11"/>
        <v>2869</v>
      </c>
      <c r="AW24" s="278"/>
      <c r="AX24" s="271">
        <f>2780+200</f>
        <v>2980</v>
      </c>
      <c r="AY24" s="220">
        <f>2780+200-111</f>
        <v>2869</v>
      </c>
      <c r="AZ24" s="5">
        <f t="shared" si="12"/>
        <v>-111</v>
      </c>
      <c r="BA24" s="68"/>
      <c r="BB24" s="129"/>
      <c r="BC24" s="230"/>
      <c r="BD24" s="238"/>
      <c r="BE24" s="238"/>
    </row>
    <row r="25" spans="1:57" ht="12.75">
      <c r="A25" s="66"/>
      <c r="B25" s="67" t="s">
        <v>5</v>
      </c>
      <c r="C25" s="74" t="s">
        <v>30</v>
      </c>
      <c r="D25" s="67">
        <v>15</v>
      </c>
      <c r="E25" s="3" t="s">
        <v>8</v>
      </c>
      <c r="F25" s="4">
        <v>15062</v>
      </c>
      <c r="G25" s="4">
        <v>0</v>
      </c>
      <c r="H25" s="4">
        <f t="shared" si="4"/>
        <v>15062</v>
      </c>
      <c r="I25" s="68">
        <v>0</v>
      </c>
      <c r="J25" s="72">
        <f t="shared" si="5"/>
        <v>15062</v>
      </c>
      <c r="K25" s="293"/>
      <c r="L25" s="4">
        <v>0</v>
      </c>
      <c r="M25" s="4">
        <v>-44</v>
      </c>
      <c r="N25" s="72">
        <f t="shared" si="6"/>
        <v>15018</v>
      </c>
      <c r="O25" s="4"/>
      <c r="P25" s="4">
        <f t="shared" si="7"/>
        <v>15062</v>
      </c>
      <c r="Q25" s="4">
        <f t="shared" si="8"/>
        <v>15062</v>
      </c>
      <c r="R25" s="4">
        <f t="shared" si="9"/>
        <v>-44</v>
      </c>
      <c r="S25" s="4">
        <v>0</v>
      </c>
      <c r="T25" s="4">
        <v>0</v>
      </c>
      <c r="U25" s="4">
        <f t="shared" si="10"/>
        <v>15018</v>
      </c>
      <c r="V25" s="4">
        <v>0</v>
      </c>
      <c r="W25" s="4">
        <v>0</v>
      </c>
      <c r="X25" s="68">
        <v>0</v>
      </c>
      <c r="Y25" s="68">
        <v>0</v>
      </c>
      <c r="Z25" s="68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f t="shared" si="13"/>
        <v>566</v>
      </c>
      <c r="AV25" s="232">
        <f t="shared" si="11"/>
        <v>15584</v>
      </c>
      <c r="AW25" s="278"/>
      <c r="AX25" s="271">
        <v>15018</v>
      </c>
      <c r="AY25" s="220">
        <f>15018+400+529-363</f>
        <v>15584</v>
      </c>
      <c r="AZ25" s="5">
        <f t="shared" si="12"/>
        <v>566</v>
      </c>
      <c r="BA25" s="68"/>
      <c r="BB25" s="129"/>
      <c r="BC25" s="230"/>
      <c r="BD25" s="238"/>
      <c r="BE25" s="238"/>
    </row>
    <row r="26" spans="1:57" ht="12.75">
      <c r="A26" s="66"/>
      <c r="B26" s="67" t="s">
        <v>5</v>
      </c>
      <c r="C26" s="74" t="s">
        <v>30</v>
      </c>
      <c r="D26" s="67">
        <v>16</v>
      </c>
      <c r="E26" s="3" t="s">
        <v>9</v>
      </c>
      <c r="F26" s="4">
        <v>121296</v>
      </c>
      <c r="G26" s="4">
        <v>-10000</v>
      </c>
      <c r="H26" s="4">
        <f t="shared" si="4"/>
        <v>111296</v>
      </c>
      <c r="I26" s="68">
        <v>0</v>
      </c>
      <c r="J26" s="72">
        <f t="shared" si="5"/>
        <v>111296</v>
      </c>
      <c r="K26" s="293"/>
      <c r="L26" s="4">
        <v>0</v>
      </c>
      <c r="M26" s="4">
        <v>-328</v>
      </c>
      <c r="N26" s="72">
        <f t="shared" si="6"/>
        <v>110968</v>
      </c>
      <c r="O26" s="4"/>
      <c r="P26" s="4">
        <f t="shared" si="7"/>
        <v>121296</v>
      </c>
      <c r="Q26" s="4">
        <f t="shared" si="8"/>
        <v>111296</v>
      </c>
      <c r="R26" s="4">
        <f t="shared" si="9"/>
        <v>-328</v>
      </c>
      <c r="S26" s="4">
        <v>0</v>
      </c>
      <c r="T26" s="4">
        <v>0</v>
      </c>
      <c r="U26" s="4">
        <f t="shared" si="10"/>
        <v>110968</v>
      </c>
      <c r="V26" s="4">
        <v>0</v>
      </c>
      <c r="W26" s="4">
        <v>0</v>
      </c>
      <c r="X26" s="68">
        <v>0</v>
      </c>
      <c r="Y26" s="68">
        <v>0</v>
      </c>
      <c r="Z26" s="68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f>SUM(AY26-AX26)</f>
        <v>11807</v>
      </c>
      <c r="AV26" s="232">
        <f>SUM(U26:AU26)+1-1</f>
        <v>122775</v>
      </c>
      <c r="AW26" s="278"/>
      <c r="AX26" s="271">
        <v>110968</v>
      </c>
      <c r="AY26" s="220">
        <f>114168+200-157+1200+9560-925-1271</f>
        <v>122775</v>
      </c>
      <c r="AZ26" s="5">
        <f t="shared" si="12"/>
        <v>11807</v>
      </c>
      <c r="BA26" s="68"/>
      <c r="BB26" s="129"/>
      <c r="BC26" s="230"/>
      <c r="BD26" s="238"/>
      <c r="BE26" s="238"/>
    </row>
    <row r="27" spans="1:57" ht="12.75">
      <c r="A27" s="66"/>
      <c r="B27" s="67" t="s">
        <v>5</v>
      </c>
      <c r="C27" s="74" t="s">
        <v>30</v>
      </c>
      <c r="D27" s="67">
        <v>17</v>
      </c>
      <c r="E27" s="3" t="s">
        <v>10</v>
      </c>
      <c r="F27" s="4">
        <v>36765</v>
      </c>
      <c r="G27" s="4">
        <v>0</v>
      </c>
      <c r="H27" s="4">
        <f t="shared" si="4"/>
        <v>36765</v>
      </c>
      <c r="I27" s="68">
        <v>0</v>
      </c>
      <c r="J27" s="72">
        <f t="shared" si="5"/>
        <v>36765</v>
      </c>
      <c r="K27" s="293"/>
      <c r="L27" s="4">
        <v>0</v>
      </c>
      <c r="M27" s="4">
        <v>-108</v>
      </c>
      <c r="N27" s="72">
        <f t="shared" si="6"/>
        <v>36657</v>
      </c>
      <c r="O27" s="4"/>
      <c r="P27" s="4">
        <f t="shared" si="7"/>
        <v>36765</v>
      </c>
      <c r="Q27" s="4">
        <f t="shared" si="8"/>
        <v>36765</v>
      </c>
      <c r="R27" s="4">
        <f t="shared" si="9"/>
        <v>-108</v>
      </c>
      <c r="S27" s="4">
        <v>0</v>
      </c>
      <c r="T27" s="4">
        <v>0</v>
      </c>
      <c r="U27" s="4">
        <f t="shared" si="10"/>
        <v>36657</v>
      </c>
      <c r="V27" s="4">
        <v>0</v>
      </c>
      <c r="W27" s="4">
        <v>0</v>
      </c>
      <c r="X27" s="68">
        <v>0</v>
      </c>
      <c r="Y27" s="68">
        <v>0</v>
      </c>
      <c r="Z27" s="68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f t="shared" si="13"/>
        <v>-7331</v>
      </c>
      <c r="AV27" s="232">
        <f t="shared" si="11"/>
        <v>29326</v>
      </c>
      <c r="AW27" s="278"/>
      <c r="AX27" s="271">
        <v>36657</v>
      </c>
      <c r="AY27" s="220">
        <f>33957-3258-1373</f>
        <v>29326</v>
      </c>
      <c r="AZ27" s="5">
        <f t="shared" si="12"/>
        <v>-7331</v>
      </c>
      <c r="BA27" s="68"/>
      <c r="BB27" s="129"/>
      <c r="BC27" s="230"/>
      <c r="BD27" s="238"/>
      <c r="BE27" s="238"/>
    </row>
    <row r="28" spans="1:57" ht="12.75">
      <c r="A28" s="66"/>
      <c r="B28" s="67" t="s">
        <v>5</v>
      </c>
      <c r="C28" s="74" t="s">
        <v>30</v>
      </c>
      <c r="D28" s="67">
        <v>18</v>
      </c>
      <c r="E28" s="3" t="s">
        <v>197</v>
      </c>
      <c r="F28" s="4">
        <v>90328</v>
      </c>
      <c r="G28" s="4">
        <v>0</v>
      </c>
      <c r="H28" s="4">
        <f t="shared" si="4"/>
        <v>90328</v>
      </c>
      <c r="I28" s="68">
        <v>0</v>
      </c>
      <c r="J28" s="72">
        <f t="shared" si="5"/>
        <v>90328</v>
      </c>
      <c r="K28" s="293"/>
      <c r="L28" s="4">
        <v>0</v>
      </c>
      <c r="M28" s="4">
        <v>-266</v>
      </c>
      <c r="N28" s="72">
        <f t="shared" si="6"/>
        <v>90062</v>
      </c>
      <c r="O28" s="4"/>
      <c r="P28" s="4">
        <f t="shared" si="7"/>
        <v>90328</v>
      </c>
      <c r="Q28" s="4">
        <f t="shared" si="8"/>
        <v>90328</v>
      </c>
      <c r="R28" s="4">
        <f t="shared" si="9"/>
        <v>-266</v>
      </c>
      <c r="S28" s="4">
        <v>0</v>
      </c>
      <c r="T28" s="4">
        <v>0</v>
      </c>
      <c r="U28" s="4">
        <f t="shared" si="10"/>
        <v>90062</v>
      </c>
      <c r="V28" s="4">
        <v>0</v>
      </c>
      <c r="W28" s="4">
        <v>0</v>
      </c>
      <c r="X28" s="68">
        <v>0</v>
      </c>
      <c r="Y28" s="68">
        <v>0</v>
      </c>
      <c r="Z28" s="68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f t="shared" si="13"/>
        <v>-1046</v>
      </c>
      <c r="AV28" s="232">
        <f t="shared" si="11"/>
        <v>89016</v>
      </c>
      <c r="AW28" s="278"/>
      <c r="AX28" s="271">
        <v>90062</v>
      </c>
      <c r="AY28" s="220">
        <f>91298+3083-595-6499+1729</f>
        <v>89016</v>
      </c>
      <c r="AZ28" s="5">
        <f t="shared" si="12"/>
        <v>-1046</v>
      </c>
      <c r="BA28" s="68"/>
      <c r="BB28" s="129"/>
      <c r="BC28" s="230"/>
      <c r="BD28" s="238"/>
      <c r="BE28" s="238"/>
    </row>
    <row r="29" spans="1:57" ht="12.75">
      <c r="A29" s="66"/>
      <c r="B29" s="67" t="s">
        <v>5</v>
      </c>
      <c r="C29" s="74" t="s">
        <v>30</v>
      </c>
      <c r="D29" s="67">
        <v>19</v>
      </c>
      <c r="E29" s="3" t="s">
        <v>203</v>
      </c>
      <c r="F29" s="4">
        <v>1894</v>
      </c>
      <c r="G29" s="4">
        <v>0</v>
      </c>
      <c r="H29" s="4">
        <f t="shared" si="4"/>
        <v>1894</v>
      </c>
      <c r="I29" s="68">
        <v>0</v>
      </c>
      <c r="J29" s="72">
        <f t="shared" si="5"/>
        <v>1894</v>
      </c>
      <c r="K29" s="293"/>
      <c r="L29" s="4">
        <v>0</v>
      </c>
      <c r="M29" s="4">
        <v>-6</v>
      </c>
      <c r="N29" s="72">
        <f t="shared" si="6"/>
        <v>1888</v>
      </c>
      <c r="O29" s="4"/>
      <c r="P29" s="4">
        <f t="shared" si="7"/>
        <v>1894</v>
      </c>
      <c r="Q29" s="4">
        <f t="shared" si="8"/>
        <v>1894</v>
      </c>
      <c r="R29" s="4">
        <f t="shared" si="9"/>
        <v>-6</v>
      </c>
      <c r="S29" s="4">
        <v>0</v>
      </c>
      <c r="T29" s="4">
        <v>0</v>
      </c>
      <c r="U29" s="4">
        <f t="shared" si="10"/>
        <v>1888</v>
      </c>
      <c r="V29" s="4">
        <v>0</v>
      </c>
      <c r="W29" s="4">
        <v>0</v>
      </c>
      <c r="X29" s="68">
        <v>0</v>
      </c>
      <c r="Y29" s="68">
        <v>0</v>
      </c>
      <c r="Z29" s="68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f t="shared" si="13"/>
        <v>-60</v>
      </c>
      <c r="AV29" s="232">
        <f t="shared" si="11"/>
        <v>1828</v>
      </c>
      <c r="AW29" s="278"/>
      <c r="AX29" s="271">
        <v>1888</v>
      </c>
      <c r="AY29" s="220">
        <f>1888-60</f>
        <v>1828</v>
      </c>
      <c r="AZ29" s="5">
        <f t="shared" si="12"/>
        <v>-60</v>
      </c>
      <c r="BA29" s="68"/>
      <c r="BB29" s="129"/>
      <c r="BC29" s="230"/>
      <c r="BD29" s="238"/>
      <c r="BE29" s="238"/>
    </row>
    <row r="30" spans="1:57" ht="12.75">
      <c r="A30" s="66"/>
      <c r="B30" s="67" t="s">
        <v>5</v>
      </c>
      <c r="C30" s="74" t="s">
        <v>30</v>
      </c>
      <c r="D30" s="74" t="s">
        <v>183</v>
      </c>
      <c r="E30" s="117" t="s">
        <v>184</v>
      </c>
      <c r="F30" s="4">
        <v>0</v>
      </c>
      <c r="G30" s="4">
        <v>0</v>
      </c>
      <c r="H30" s="4">
        <f t="shared" si="4"/>
        <v>0</v>
      </c>
      <c r="I30" s="68">
        <v>0</v>
      </c>
      <c r="J30" s="72">
        <f t="shared" si="5"/>
        <v>0</v>
      </c>
      <c r="K30" s="293"/>
      <c r="L30" s="4">
        <v>0</v>
      </c>
      <c r="M30" s="4">
        <v>0</v>
      </c>
      <c r="N30" s="72">
        <f t="shared" si="6"/>
        <v>0</v>
      </c>
      <c r="O30" s="4"/>
      <c r="P30" s="4">
        <f t="shared" si="7"/>
        <v>0</v>
      </c>
      <c r="Q30" s="4">
        <f t="shared" si="8"/>
        <v>0</v>
      </c>
      <c r="R30" s="4">
        <f t="shared" si="9"/>
        <v>0</v>
      </c>
      <c r="S30" s="4">
        <v>0</v>
      </c>
      <c r="T30" s="4">
        <v>0</v>
      </c>
      <c r="U30" s="4">
        <f t="shared" si="10"/>
        <v>0</v>
      </c>
      <c r="V30" s="4">
        <v>0</v>
      </c>
      <c r="W30" s="4">
        <v>0</v>
      </c>
      <c r="X30" s="68">
        <v>0</v>
      </c>
      <c r="Y30" s="68">
        <v>0</v>
      </c>
      <c r="Z30" s="68">
        <v>0</v>
      </c>
      <c r="AA30" s="4">
        <v>659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657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f>SUM(AY30-AX30)</f>
        <v>0</v>
      </c>
      <c r="AV30" s="232">
        <f>SUM(U30:AU30)</f>
        <v>1316</v>
      </c>
      <c r="AW30" s="278"/>
      <c r="AX30" s="271">
        <f>659+657</f>
        <v>1316</v>
      </c>
      <c r="AY30" s="220">
        <f>659+657</f>
        <v>1316</v>
      </c>
      <c r="AZ30" s="5">
        <f t="shared" si="12"/>
        <v>0</v>
      </c>
      <c r="BA30" s="68"/>
      <c r="BB30" s="129"/>
      <c r="BC30" s="230"/>
      <c r="BD30" s="238"/>
      <c r="BE30" s="238"/>
    </row>
    <row r="31" spans="1:57" ht="12.75">
      <c r="A31" s="66"/>
      <c r="B31" s="67" t="s">
        <v>5</v>
      </c>
      <c r="C31" s="74" t="s">
        <v>30</v>
      </c>
      <c r="D31" s="74">
        <v>21</v>
      </c>
      <c r="E31" s="117" t="s">
        <v>212</v>
      </c>
      <c r="F31" s="4">
        <v>7952</v>
      </c>
      <c r="G31" s="4">
        <v>-3952</v>
      </c>
      <c r="H31" s="4">
        <f t="shared" si="4"/>
        <v>4000</v>
      </c>
      <c r="I31" s="68">
        <v>0</v>
      </c>
      <c r="J31" s="72">
        <f t="shared" si="5"/>
        <v>4000</v>
      </c>
      <c r="K31" s="293"/>
      <c r="L31" s="4">
        <v>0</v>
      </c>
      <c r="M31" s="4">
        <v>-12</v>
      </c>
      <c r="N31" s="72">
        <f t="shared" si="6"/>
        <v>3988</v>
      </c>
      <c r="O31" s="4"/>
      <c r="P31" s="4">
        <f t="shared" si="7"/>
        <v>7952</v>
      </c>
      <c r="Q31" s="4">
        <f t="shared" si="8"/>
        <v>4000</v>
      </c>
      <c r="R31" s="4">
        <f>SUM(L31+M31)</f>
        <v>-12</v>
      </c>
      <c r="S31" s="4">
        <v>0</v>
      </c>
      <c r="T31" s="4">
        <v>0</v>
      </c>
      <c r="U31" s="4">
        <f>SUM(Q31:T31)</f>
        <v>3988</v>
      </c>
      <c r="V31" s="4">
        <v>0</v>
      </c>
      <c r="W31" s="4">
        <v>0</v>
      </c>
      <c r="X31" s="68">
        <v>0</v>
      </c>
      <c r="Y31" s="68">
        <v>0</v>
      </c>
      <c r="Z31" s="68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f>SUM(AY31-AX31)</f>
        <v>-341</v>
      </c>
      <c r="AV31" s="232">
        <f>SUM(U31:AU31)</f>
        <v>3647</v>
      </c>
      <c r="AW31" s="278"/>
      <c r="AX31" s="271">
        <v>3988</v>
      </c>
      <c r="AY31" s="220">
        <f>3988-61-280</f>
        <v>3647</v>
      </c>
      <c r="AZ31" s="5">
        <f t="shared" si="12"/>
        <v>-341</v>
      </c>
      <c r="BA31" s="68"/>
      <c r="BB31" s="129"/>
      <c r="BC31" s="230"/>
      <c r="BD31" s="238"/>
      <c r="BE31" s="238"/>
    </row>
    <row r="32" spans="1:57" ht="13.5" thickBot="1">
      <c r="A32" s="66"/>
      <c r="B32" s="67" t="s">
        <v>5</v>
      </c>
      <c r="C32" s="74" t="s">
        <v>30</v>
      </c>
      <c r="D32" s="74">
        <v>22</v>
      </c>
      <c r="E32" s="117" t="s">
        <v>213</v>
      </c>
      <c r="F32" s="4">
        <v>19100</v>
      </c>
      <c r="G32" s="4">
        <v>0</v>
      </c>
      <c r="H32" s="4">
        <f t="shared" si="4"/>
        <v>19100</v>
      </c>
      <c r="I32" s="68">
        <v>0</v>
      </c>
      <c r="J32" s="72">
        <f t="shared" si="5"/>
        <v>19100</v>
      </c>
      <c r="K32" s="293"/>
      <c r="L32" s="4">
        <v>0</v>
      </c>
      <c r="M32" s="4">
        <v>-56</v>
      </c>
      <c r="N32" s="72">
        <f t="shared" si="6"/>
        <v>19044</v>
      </c>
      <c r="O32" s="4"/>
      <c r="P32" s="4">
        <f t="shared" si="7"/>
        <v>19100</v>
      </c>
      <c r="Q32" s="4">
        <f t="shared" si="8"/>
        <v>19100</v>
      </c>
      <c r="R32" s="4">
        <f>SUM(L32+M32)</f>
        <v>-56</v>
      </c>
      <c r="S32" s="4">
        <v>0</v>
      </c>
      <c r="T32" s="4">
        <v>0</v>
      </c>
      <c r="U32" s="4">
        <f>SUM(Q32:T32)</f>
        <v>19044</v>
      </c>
      <c r="V32" s="4">
        <v>0</v>
      </c>
      <c r="W32" s="4">
        <v>0</v>
      </c>
      <c r="X32" s="68">
        <v>0</v>
      </c>
      <c r="Y32" s="68">
        <v>0</v>
      </c>
      <c r="Z32" s="68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f>SUM(AY32-AX32)</f>
        <v>0</v>
      </c>
      <c r="AV32" s="232">
        <f>SUM(U32:AU32)</f>
        <v>19044</v>
      </c>
      <c r="AW32" s="278"/>
      <c r="AX32" s="271">
        <v>19044</v>
      </c>
      <c r="AY32" s="220">
        <v>19044</v>
      </c>
      <c r="AZ32" s="5">
        <f t="shared" si="12"/>
        <v>0</v>
      </c>
      <c r="BA32" s="68"/>
      <c r="BB32" s="129"/>
      <c r="BC32" s="230"/>
      <c r="BD32" s="238"/>
      <c r="BE32" s="238"/>
    </row>
    <row r="33" spans="1:57" s="11" customFormat="1" ht="13.5" thickBot="1">
      <c r="A33" s="48"/>
      <c r="B33" s="295"/>
      <c r="C33" s="295"/>
      <c r="D33" s="295"/>
      <c r="E33" s="306" t="s">
        <v>67</v>
      </c>
      <c r="F33" s="297">
        <f>SUM(F22:F32)</f>
        <v>361092</v>
      </c>
      <c r="G33" s="297">
        <f>SUM(G22:G32)</f>
        <v>-20152</v>
      </c>
      <c r="H33" s="297">
        <f>SUM(H22:H32)</f>
        <v>340940</v>
      </c>
      <c r="I33" s="298">
        <f>SUM(I22:I32)</f>
        <v>0</v>
      </c>
      <c r="J33" s="299">
        <f>SUM(J22:J32)</f>
        <v>340940</v>
      </c>
      <c r="K33" s="300"/>
      <c r="L33" s="297">
        <f>SUM(L22:L32)</f>
        <v>0</v>
      </c>
      <c r="M33" s="297">
        <f>SUM(M22:M32)</f>
        <v>-1004</v>
      </c>
      <c r="N33" s="299">
        <f>SUM(N22:N32)</f>
        <v>339936</v>
      </c>
      <c r="O33" s="297"/>
      <c r="P33" s="297">
        <f>SUM(F33)</f>
        <v>361092</v>
      </c>
      <c r="Q33" s="297">
        <f>SUM(J33)</f>
        <v>340940</v>
      </c>
      <c r="R33" s="297">
        <f>SUM(L33+M33)</f>
        <v>-1004</v>
      </c>
      <c r="S33" s="297">
        <f>SUM(S22:S30)</f>
        <v>0</v>
      </c>
      <c r="T33" s="297">
        <f>SUM(T22:T30)</f>
        <v>0</v>
      </c>
      <c r="U33" s="297">
        <f>SUM(Q33:T33)</f>
        <v>339936</v>
      </c>
      <c r="V33" s="297">
        <f aca="true" t="shared" si="14" ref="V33:AG33">SUM(V22:V30)</f>
        <v>0</v>
      </c>
      <c r="W33" s="297">
        <f t="shared" si="14"/>
        <v>0</v>
      </c>
      <c r="X33" s="298">
        <f>SUM(X22:X32)</f>
        <v>0</v>
      </c>
      <c r="Y33" s="298">
        <f>SUM(Y22:Y32)</f>
        <v>0</v>
      </c>
      <c r="Z33" s="298">
        <f>SUM(Z22:Z32)</f>
        <v>0</v>
      </c>
      <c r="AA33" s="297">
        <f>SUM(AA22:AA32)</f>
        <v>659</v>
      </c>
      <c r="AB33" s="297">
        <f>SUM(AB22:AB32)</f>
        <v>0</v>
      </c>
      <c r="AC33" s="297">
        <f t="shared" si="14"/>
        <v>0</v>
      </c>
      <c r="AD33" s="297">
        <f t="shared" si="14"/>
        <v>0</v>
      </c>
      <c r="AE33" s="297">
        <f t="shared" si="14"/>
        <v>0</v>
      </c>
      <c r="AF33" s="297">
        <f t="shared" si="14"/>
        <v>0</v>
      </c>
      <c r="AG33" s="297">
        <f t="shared" si="14"/>
        <v>657</v>
      </c>
      <c r="AH33" s="297">
        <f aca="true" t="shared" si="15" ref="AH33:AT33">SUM(AH22:AH30)</f>
        <v>0</v>
      </c>
      <c r="AI33" s="297">
        <f t="shared" si="15"/>
        <v>0</v>
      </c>
      <c r="AJ33" s="297">
        <f t="shared" si="15"/>
        <v>0</v>
      </c>
      <c r="AK33" s="297">
        <f t="shared" si="15"/>
        <v>200</v>
      </c>
      <c r="AL33" s="297">
        <f t="shared" si="15"/>
        <v>0</v>
      </c>
      <c r="AM33" s="297">
        <f t="shared" si="15"/>
        <v>0</v>
      </c>
      <c r="AN33" s="297">
        <f t="shared" si="15"/>
        <v>0</v>
      </c>
      <c r="AO33" s="297">
        <f t="shared" si="15"/>
        <v>0</v>
      </c>
      <c r="AP33" s="297">
        <f t="shared" si="15"/>
        <v>0</v>
      </c>
      <c r="AQ33" s="297">
        <f t="shared" si="15"/>
        <v>0</v>
      </c>
      <c r="AR33" s="297">
        <f t="shared" si="15"/>
        <v>0</v>
      </c>
      <c r="AS33" s="297">
        <f t="shared" si="15"/>
        <v>0</v>
      </c>
      <c r="AT33" s="297">
        <f t="shared" si="15"/>
        <v>0</v>
      </c>
      <c r="AU33" s="297">
        <f>SUM(AU22:AU32)</f>
        <v>0</v>
      </c>
      <c r="AV33" s="301">
        <f>SUM(AV22:AV32)</f>
        <v>341452</v>
      </c>
      <c r="AW33" s="302"/>
      <c r="AX33" s="303">
        <f>SUM(AX22:AX32)</f>
        <v>341452</v>
      </c>
      <c r="AY33" s="304">
        <f>SUM(AY22:AY32)</f>
        <v>341452</v>
      </c>
      <c r="AZ33" s="305">
        <f>SUM(AZ22:AZ32)</f>
        <v>0</v>
      </c>
      <c r="BA33" s="79"/>
      <c r="BB33" s="129"/>
      <c r="BC33" s="230"/>
      <c r="BD33" s="52"/>
      <c r="BE33" s="52"/>
    </row>
    <row r="34" spans="1:57" ht="12.75">
      <c r="A34" s="66"/>
      <c r="B34" s="67"/>
      <c r="C34" s="67"/>
      <c r="D34" s="67"/>
      <c r="E34" s="3"/>
      <c r="F34" s="4"/>
      <c r="G34" s="4"/>
      <c r="H34" s="4"/>
      <c r="I34" s="68"/>
      <c r="J34" s="72"/>
      <c r="K34" s="293"/>
      <c r="L34" s="4"/>
      <c r="M34" s="4"/>
      <c r="N34" s="72"/>
      <c r="O34" s="4"/>
      <c r="P34" s="4"/>
      <c r="Q34" s="4"/>
      <c r="R34" s="4"/>
      <c r="S34" s="4"/>
      <c r="T34" s="4"/>
      <c r="U34" s="4"/>
      <c r="V34" s="4"/>
      <c r="W34" s="4"/>
      <c r="X34" s="68"/>
      <c r="Y34" s="68"/>
      <c r="Z34" s="68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232"/>
      <c r="AW34" s="278"/>
      <c r="AX34" s="271"/>
      <c r="AY34" s="220"/>
      <c r="AZ34" s="5"/>
      <c r="BA34" s="68"/>
      <c r="BB34" s="229"/>
      <c r="BC34" s="230"/>
      <c r="BD34" s="238"/>
      <c r="BE34" s="238"/>
    </row>
    <row r="35" spans="1:57" ht="13.5" thickBot="1">
      <c r="A35" s="73" t="s">
        <v>1</v>
      </c>
      <c r="B35" s="67" t="s">
        <v>11</v>
      </c>
      <c r="C35" s="74" t="s">
        <v>30</v>
      </c>
      <c r="D35" s="67">
        <v>33</v>
      </c>
      <c r="E35" s="3" t="s">
        <v>12</v>
      </c>
      <c r="F35" s="4">
        <v>8789</v>
      </c>
      <c r="G35" s="4">
        <v>0</v>
      </c>
      <c r="H35" s="4">
        <f>SUM(F35:G35)</f>
        <v>8789</v>
      </c>
      <c r="I35" s="68">
        <v>0</v>
      </c>
      <c r="J35" s="72">
        <f>SUM(H35:I35)</f>
        <v>8789</v>
      </c>
      <c r="K35" s="293"/>
      <c r="L35" s="4">
        <v>0</v>
      </c>
      <c r="M35" s="4">
        <v>-26</v>
      </c>
      <c r="N35" s="72">
        <f>SUM(J35:M35)</f>
        <v>8763</v>
      </c>
      <c r="O35" s="4"/>
      <c r="P35" s="4">
        <f>SUM(F35)</f>
        <v>8789</v>
      </c>
      <c r="Q35" s="4">
        <f>SUM(J35)</f>
        <v>8789</v>
      </c>
      <c r="R35" s="4">
        <f>SUM(L35+M35)</f>
        <v>-26</v>
      </c>
      <c r="S35" s="4">
        <v>0</v>
      </c>
      <c r="T35" s="4">
        <v>0</v>
      </c>
      <c r="U35" s="4">
        <f>SUM(Q35:T35)</f>
        <v>8763</v>
      </c>
      <c r="V35" s="4">
        <v>0</v>
      </c>
      <c r="W35" s="4">
        <v>0</v>
      </c>
      <c r="X35" s="68">
        <v>0</v>
      </c>
      <c r="Y35" s="68">
        <v>0</v>
      </c>
      <c r="Z35" s="68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f>SUM(AY35-AX35)</f>
        <v>0</v>
      </c>
      <c r="AV35" s="232">
        <f>SUM(U35:AU35)</f>
        <v>8763</v>
      </c>
      <c r="AW35" s="278"/>
      <c r="AX35" s="271">
        <v>8763</v>
      </c>
      <c r="AY35" s="220">
        <v>8763</v>
      </c>
      <c r="AZ35" s="5">
        <f>SUM(AY35-AX35)</f>
        <v>0</v>
      </c>
      <c r="BA35" s="68"/>
      <c r="BB35" s="229"/>
      <c r="BC35" s="230"/>
      <c r="BD35" s="238"/>
      <c r="BE35" s="238"/>
    </row>
    <row r="36" spans="1:57" s="11" customFormat="1" ht="13.5" thickBot="1">
      <c r="A36" s="48"/>
      <c r="B36" s="295"/>
      <c r="C36" s="295"/>
      <c r="D36" s="295"/>
      <c r="E36" s="306" t="s">
        <v>117</v>
      </c>
      <c r="F36" s="297">
        <f>SUM(F35)</f>
        <v>8789</v>
      </c>
      <c r="G36" s="297">
        <f>SUM(G35)</f>
        <v>0</v>
      </c>
      <c r="H36" s="297">
        <f>SUM(H35)</f>
        <v>8789</v>
      </c>
      <c r="I36" s="298">
        <f>SUM(I35)</f>
        <v>0</v>
      </c>
      <c r="J36" s="299">
        <f>SUM(J35)</f>
        <v>8789</v>
      </c>
      <c r="K36" s="300"/>
      <c r="L36" s="297">
        <f>SUM(L35)</f>
        <v>0</v>
      </c>
      <c r="M36" s="297">
        <f>SUM(M35)</f>
        <v>-26</v>
      </c>
      <c r="N36" s="299">
        <f>SUM(N35)</f>
        <v>8763</v>
      </c>
      <c r="O36" s="297"/>
      <c r="P36" s="297">
        <f>SUM(F36)</f>
        <v>8789</v>
      </c>
      <c r="Q36" s="297">
        <f>SUM(J36)</f>
        <v>8789</v>
      </c>
      <c r="R36" s="297">
        <f>SUM(L36+M36)</f>
        <v>-26</v>
      </c>
      <c r="S36" s="297">
        <f>SUM(S35)</f>
        <v>0</v>
      </c>
      <c r="T36" s="297">
        <f>SUM(T35)</f>
        <v>0</v>
      </c>
      <c r="U36" s="297">
        <f>SUM(Q36:T36)</f>
        <v>8763</v>
      </c>
      <c r="V36" s="297">
        <f aca="true" t="shared" si="16" ref="V36:AF36">SUM(V35)</f>
        <v>0</v>
      </c>
      <c r="W36" s="297">
        <f t="shared" si="16"/>
        <v>0</v>
      </c>
      <c r="X36" s="298">
        <f t="shared" si="16"/>
        <v>0</v>
      </c>
      <c r="Y36" s="298">
        <f>SUM(Y35)</f>
        <v>0</v>
      </c>
      <c r="Z36" s="298">
        <f>SUM(Z35)</f>
        <v>0</v>
      </c>
      <c r="AA36" s="297">
        <f t="shared" si="16"/>
        <v>0</v>
      </c>
      <c r="AB36" s="297">
        <f t="shared" si="16"/>
        <v>0</v>
      </c>
      <c r="AC36" s="297">
        <f t="shared" si="16"/>
        <v>0</v>
      </c>
      <c r="AD36" s="297">
        <f t="shared" si="16"/>
        <v>0</v>
      </c>
      <c r="AE36" s="297">
        <f t="shared" si="16"/>
        <v>0</v>
      </c>
      <c r="AF36" s="297">
        <f t="shared" si="16"/>
        <v>0</v>
      </c>
      <c r="AG36" s="297">
        <f aca="true" t="shared" si="17" ref="AG36:AU36">SUM(AG35)</f>
        <v>0</v>
      </c>
      <c r="AH36" s="297">
        <f t="shared" si="17"/>
        <v>0</v>
      </c>
      <c r="AI36" s="297">
        <f t="shared" si="17"/>
        <v>0</v>
      </c>
      <c r="AJ36" s="297">
        <f t="shared" si="17"/>
        <v>0</v>
      </c>
      <c r="AK36" s="297">
        <f t="shared" si="17"/>
        <v>0</v>
      </c>
      <c r="AL36" s="297">
        <f t="shared" si="17"/>
        <v>0</v>
      </c>
      <c r="AM36" s="297">
        <f t="shared" si="17"/>
        <v>0</v>
      </c>
      <c r="AN36" s="297">
        <f t="shared" si="17"/>
        <v>0</v>
      </c>
      <c r="AO36" s="297">
        <f t="shared" si="17"/>
        <v>0</v>
      </c>
      <c r="AP36" s="297">
        <f t="shared" si="17"/>
        <v>0</v>
      </c>
      <c r="AQ36" s="297">
        <f t="shared" si="17"/>
        <v>0</v>
      </c>
      <c r="AR36" s="297">
        <f t="shared" si="17"/>
        <v>0</v>
      </c>
      <c r="AS36" s="297">
        <f t="shared" si="17"/>
        <v>0</v>
      </c>
      <c r="AT36" s="297">
        <f t="shared" si="17"/>
        <v>0</v>
      </c>
      <c r="AU36" s="297">
        <f t="shared" si="17"/>
        <v>0</v>
      </c>
      <c r="AV36" s="301">
        <f>SUM(AV35)</f>
        <v>8763</v>
      </c>
      <c r="AW36" s="302"/>
      <c r="AX36" s="303">
        <f>SUM(AX35)</f>
        <v>8763</v>
      </c>
      <c r="AY36" s="304">
        <f>SUM(AY35)</f>
        <v>8763</v>
      </c>
      <c r="AZ36" s="305">
        <f>SUM(AZ35)</f>
        <v>0</v>
      </c>
      <c r="BA36" s="79"/>
      <c r="BB36" s="129"/>
      <c r="BC36" s="230"/>
      <c r="BD36" s="52"/>
      <c r="BE36" s="52"/>
    </row>
    <row r="37" spans="1:57" ht="12.75">
      <c r="A37" s="66"/>
      <c r="B37" s="67"/>
      <c r="C37" s="67"/>
      <c r="D37" s="67"/>
      <c r="E37" s="3"/>
      <c r="F37" s="4"/>
      <c r="G37" s="4"/>
      <c r="H37" s="4"/>
      <c r="I37" s="68"/>
      <c r="J37" s="72"/>
      <c r="K37" s="293"/>
      <c r="L37" s="4"/>
      <c r="M37" s="4"/>
      <c r="N37" s="72"/>
      <c r="O37" s="4"/>
      <c r="P37" s="4"/>
      <c r="Q37" s="4"/>
      <c r="R37" s="4"/>
      <c r="S37" s="4"/>
      <c r="T37" s="4"/>
      <c r="U37" s="4"/>
      <c r="V37" s="4"/>
      <c r="W37" s="4"/>
      <c r="X37" s="68"/>
      <c r="Y37" s="68"/>
      <c r="Z37" s="68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232"/>
      <c r="AW37" s="278"/>
      <c r="AX37" s="271"/>
      <c r="AY37" s="220"/>
      <c r="AZ37" s="5"/>
      <c r="BA37" s="68"/>
      <c r="BB37" s="229"/>
      <c r="BC37" s="230"/>
      <c r="BD37" s="238"/>
      <c r="BE37" s="238"/>
    </row>
    <row r="38" spans="1:57" ht="13.5" thickBot="1">
      <c r="A38" s="73" t="s">
        <v>1</v>
      </c>
      <c r="B38" s="67" t="s">
        <v>13</v>
      </c>
      <c r="C38" s="74" t="s">
        <v>30</v>
      </c>
      <c r="D38" s="67">
        <v>34</v>
      </c>
      <c r="E38" s="3" t="s">
        <v>118</v>
      </c>
      <c r="F38" s="4">
        <v>1523</v>
      </c>
      <c r="G38" s="4">
        <v>2400</v>
      </c>
      <c r="H38" s="4">
        <f>SUM(F38:G38)</f>
        <v>3923</v>
      </c>
      <c r="I38" s="68">
        <v>0</v>
      </c>
      <c r="J38" s="72">
        <f>SUM(H38:I38)</f>
        <v>3923</v>
      </c>
      <c r="K38" s="293"/>
      <c r="L38" s="4">
        <v>0</v>
      </c>
      <c r="M38" s="4">
        <v>-12</v>
      </c>
      <c r="N38" s="72">
        <f>SUM(J38:M38)</f>
        <v>3911</v>
      </c>
      <c r="O38" s="4"/>
      <c r="P38" s="4">
        <f>SUM(F38)</f>
        <v>1523</v>
      </c>
      <c r="Q38" s="4">
        <f>SUM(J38)</f>
        <v>3923</v>
      </c>
      <c r="R38" s="4">
        <f>SUM(L38+M38)</f>
        <v>-12</v>
      </c>
      <c r="S38" s="4">
        <v>0</v>
      </c>
      <c r="T38" s="4">
        <v>0</v>
      </c>
      <c r="U38" s="4">
        <f>SUM(Q38:T38)</f>
        <v>3911</v>
      </c>
      <c r="V38" s="4">
        <v>0</v>
      </c>
      <c r="W38" s="4">
        <v>0</v>
      </c>
      <c r="X38" s="68">
        <v>0</v>
      </c>
      <c r="Y38" s="68">
        <v>0</v>
      </c>
      <c r="Z38" s="68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-2400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f>SUM(AY38-AX38)</f>
        <v>0</v>
      </c>
      <c r="AV38" s="232">
        <f>SUM(U38:AU38)</f>
        <v>1511</v>
      </c>
      <c r="AW38" s="278"/>
      <c r="AX38" s="271">
        <f>3911-2400</f>
        <v>1511</v>
      </c>
      <c r="AY38" s="220">
        <f>3911-2400</f>
        <v>1511</v>
      </c>
      <c r="AZ38" s="5">
        <f>SUM(AY38-AX38)</f>
        <v>0</v>
      </c>
      <c r="BA38" s="68"/>
      <c r="BB38" s="229"/>
      <c r="BC38" s="230"/>
      <c r="BD38" s="238"/>
      <c r="BE38" s="238"/>
    </row>
    <row r="39" spans="1:57" s="11" customFormat="1" ht="13.5" thickBot="1">
      <c r="A39" s="48"/>
      <c r="B39" s="295"/>
      <c r="C39" s="295"/>
      <c r="D39" s="295"/>
      <c r="E39" s="306" t="s">
        <v>119</v>
      </c>
      <c r="F39" s="297">
        <f>SUM(F38)</f>
        <v>1523</v>
      </c>
      <c r="G39" s="297">
        <f>SUM(G38)</f>
        <v>2400</v>
      </c>
      <c r="H39" s="297">
        <f>SUM(H38)</f>
        <v>3923</v>
      </c>
      <c r="I39" s="298">
        <f>SUM(I38)</f>
        <v>0</v>
      </c>
      <c r="J39" s="299">
        <f>SUM(J38)</f>
        <v>3923</v>
      </c>
      <c r="K39" s="300"/>
      <c r="L39" s="297">
        <f>SUM(L38)</f>
        <v>0</v>
      </c>
      <c r="M39" s="297">
        <f>SUM(M38)</f>
        <v>-12</v>
      </c>
      <c r="N39" s="299">
        <f>SUM(N38)</f>
        <v>3911</v>
      </c>
      <c r="O39" s="297"/>
      <c r="P39" s="297">
        <f>SUM(F39)</f>
        <v>1523</v>
      </c>
      <c r="Q39" s="297">
        <f>SUM(J39)</f>
        <v>3923</v>
      </c>
      <c r="R39" s="297">
        <f>SUM(L39+M39)</f>
        <v>-12</v>
      </c>
      <c r="S39" s="297">
        <f>SUM(S38)</f>
        <v>0</v>
      </c>
      <c r="T39" s="297">
        <f>SUM(T38)</f>
        <v>0</v>
      </c>
      <c r="U39" s="297">
        <f>SUM(Q39:T39)</f>
        <v>3911</v>
      </c>
      <c r="V39" s="297">
        <f aca="true" t="shared" si="18" ref="V39:AF39">SUM(V38)</f>
        <v>0</v>
      </c>
      <c r="W39" s="297">
        <f t="shared" si="18"/>
        <v>0</v>
      </c>
      <c r="X39" s="298">
        <f t="shared" si="18"/>
        <v>0</v>
      </c>
      <c r="Y39" s="298">
        <f>SUM(Y38)</f>
        <v>0</v>
      </c>
      <c r="Z39" s="298">
        <f>SUM(Z38)</f>
        <v>0</v>
      </c>
      <c r="AA39" s="297">
        <f t="shared" si="18"/>
        <v>0</v>
      </c>
      <c r="AB39" s="297">
        <f t="shared" si="18"/>
        <v>0</v>
      </c>
      <c r="AC39" s="297">
        <f t="shared" si="18"/>
        <v>0</v>
      </c>
      <c r="AD39" s="297">
        <f t="shared" si="18"/>
        <v>0</v>
      </c>
      <c r="AE39" s="297">
        <f t="shared" si="18"/>
        <v>0</v>
      </c>
      <c r="AF39" s="297">
        <f t="shared" si="18"/>
        <v>0</v>
      </c>
      <c r="AG39" s="297">
        <f aca="true" t="shared" si="19" ref="AG39:AU39">SUM(AG38)</f>
        <v>0</v>
      </c>
      <c r="AH39" s="297">
        <f t="shared" si="19"/>
        <v>0</v>
      </c>
      <c r="AI39" s="297">
        <f t="shared" si="19"/>
        <v>-2400</v>
      </c>
      <c r="AJ39" s="297">
        <f t="shared" si="19"/>
        <v>0</v>
      </c>
      <c r="AK39" s="297">
        <f t="shared" si="19"/>
        <v>0</v>
      </c>
      <c r="AL39" s="297">
        <f t="shared" si="19"/>
        <v>0</v>
      </c>
      <c r="AM39" s="297">
        <f t="shared" si="19"/>
        <v>0</v>
      </c>
      <c r="AN39" s="297">
        <f t="shared" si="19"/>
        <v>0</v>
      </c>
      <c r="AO39" s="297">
        <f t="shared" si="19"/>
        <v>0</v>
      </c>
      <c r="AP39" s="297">
        <f t="shared" si="19"/>
        <v>0</v>
      </c>
      <c r="AQ39" s="297">
        <f t="shared" si="19"/>
        <v>0</v>
      </c>
      <c r="AR39" s="297">
        <f t="shared" si="19"/>
        <v>0</v>
      </c>
      <c r="AS39" s="297">
        <f t="shared" si="19"/>
        <v>0</v>
      </c>
      <c r="AT39" s="297">
        <f t="shared" si="19"/>
        <v>0</v>
      </c>
      <c r="AU39" s="297">
        <f t="shared" si="19"/>
        <v>0</v>
      </c>
      <c r="AV39" s="301">
        <f>SUM(AV38)</f>
        <v>1511</v>
      </c>
      <c r="AW39" s="302"/>
      <c r="AX39" s="303">
        <f>SUM(AX38)</f>
        <v>1511</v>
      </c>
      <c r="AY39" s="304">
        <f>SUM(AY38)</f>
        <v>1511</v>
      </c>
      <c r="AZ39" s="305">
        <f>SUM(AZ38)</f>
        <v>0</v>
      </c>
      <c r="BA39" s="79"/>
      <c r="BB39" s="129"/>
      <c r="BC39" s="230"/>
      <c r="BD39" s="52"/>
      <c r="BE39" s="52"/>
    </row>
    <row r="40" spans="1:57" ht="12.75">
      <c r="A40" s="66"/>
      <c r="B40" s="67"/>
      <c r="C40" s="67"/>
      <c r="D40" s="67"/>
      <c r="E40" s="3"/>
      <c r="F40" s="4"/>
      <c r="G40" s="4"/>
      <c r="H40" s="4"/>
      <c r="I40" s="68"/>
      <c r="J40" s="72"/>
      <c r="K40" s="293"/>
      <c r="L40" s="4"/>
      <c r="M40" s="4"/>
      <c r="N40" s="72"/>
      <c r="O40" s="4"/>
      <c r="P40" s="4"/>
      <c r="Q40" s="4"/>
      <c r="R40" s="4"/>
      <c r="S40" s="4"/>
      <c r="T40" s="4"/>
      <c r="U40" s="4"/>
      <c r="V40" s="4"/>
      <c r="W40" s="4"/>
      <c r="X40" s="68"/>
      <c r="Y40" s="68"/>
      <c r="Z40" s="68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232"/>
      <c r="AW40" s="278"/>
      <c r="AX40" s="271"/>
      <c r="AY40" s="220"/>
      <c r="AZ40" s="5"/>
      <c r="BA40" s="68"/>
      <c r="BB40" s="229"/>
      <c r="BC40" s="230"/>
      <c r="BD40" s="238"/>
      <c r="BE40" s="238"/>
    </row>
    <row r="41" spans="1:57" ht="12.75">
      <c r="A41" s="73" t="s">
        <v>1</v>
      </c>
      <c r="B41" s="67" t="s">
        <v>120</v>
      </c>
      <c r="C41" s="74" t="s">
        <v>30</v>
      </c>
      <c r="D41" s="67">
        <v>35</v>
      </c>
      <c r="E41" s="3" t="s">
        <v>12</v>
      </c>
      <c r="F41" s="4">
        <v>25897</v>
      </c>
      <c r="G41" s="4">
        <v>3200</v>
      </c>
      <c r="H41" s="4">
        <f>SUM(F41:G41)</f>
        <v>29097</v>
      </c>
      <c r="I41" s="68">
        <v>-3200</v>
      </c>
      <c r="J41" s="72">
        <f>SUM(H41:I41)</f>
        <v>25897</v>
      </c>
      <c r="K41" s="293"/>
      <c r="L41" s="4">
        <v>0</v>
      </c>
      <c r="M41" s="4">
        <v>-86</v>
      </c>
      <c r="N41" s="72">
        <f>SUM(J41:M41)</f>
        <v>25811</v>
      </c>
      <c r="O41" s="4"/>
      <c r="P41" s="4">
        <f>SUM(F41)</f>
        <v>25897</v>
      </c>
      <c r="Q41" s="4">
        <f>SUM(J41)</f>
        <v>25897</v>
      </c>
      <c r="R41" s="4">
        <f>SUM(L41+M41)</f>
        <v>-86</v>
      </c>
      <c r="S41" s="4">
        <v>0</v>
      </c>
      <c r="T41" s="4">
        <v>0</v>
      </c>
      <c r="U41" s="4">
        <f>SUM(Q41:T41)</f>
        <v>25811</v>
      </c>
      <c r="V41" s="4">
        <v>0</v>
      </c>
      <c r="W41" s="68">
        <f>-3200+3200</f>
        <v>0</v>
      </c>
      <c r="X41" s="68">
        <v>0</v>
      </c>
      <c r="Y41" s="68">
        <v>0</v>
      </c>
      <c r="Z41" s="68">
        <v>0</v>
      </c>
      <c r="AA41" s="4">
        <v>0</v>
      </c>
      <c r="AB41" s="4">
        <v>0</v>
      </c>
      <c r="AC41" s="4">
        <v>0</v>
      </c>
      <c r="AD41" s="4">
        <v>-276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234">
        <f>SUM(U41:AU41)</f>
        <v>25535</v>
      </c>
      <c r="AW41" s="278"/>
      <c r="AX41" s="271">
        <f>25811-276</f>
        <v>25535</v>
      </c>
      <c r="AY41" s="220">
        <f>25811-276</f>
        <v>25535</v>
      </c>
      <c r="AZ41" s="5">
        <f>SUM(AY41-AX41)</f>
        <v>0</v>
      </c>
      <c r="BA41" s="68"/>
      <c r="BB41" s="229"/>
      <c r="BC41" s="230"/>
      <c r="BD41" s="238"/>
      <c r="BE41" s="238"/>
    </row>
    <row r="42" spans="1:57" ht="13.5" thickBot="1">
      <c r="A42" s="73"/>
      <c r="B42" s="67"/>
      <c r="C42" s="74"/>
      <c r="D42" s="67"/>
      <c r="E42" s="117" t="s">
        <v>191</v>
      </c>
      <c r="F42" s="4">
        <v>0</v>
      </c>
      <c r="G42" s="4">
        <v>0</v>
      </c>
      <c r="H42" s="4">
        <v>0</v>
      </c>
      <c r="I42" s="68">
        <v>0</v>
      </c>
      <c r="J42" s="72">
        <f>SUM(H42:I42)</f>
        <v>0</v>
      </c>
      <c r="K42" s="293"/>
      <c r="L42" s="4">
        <v>0</v>
      </c>
      <c r="M42" s="4">
        <v>0</v>
      </c>
      <c r="N42" s="72">
        <f>SUM(J42:M42)</f>
        <v>0</v>
      </c>
      <c r="O42" s="4"/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f>SUM(Q42:T42)</f>
        <v>0</v>
      </c>
      <c r="V42" s="4">
        <v>0</v>
      </c>
      <c r="W42" s="68">
        <v>0</v>
      </c>
      <c r="X42" s="68">
        <v>0</v>
      </c>
      <c r="Y42" s="68">
        <v>0</v>
      </c>
      <c r="Z42" s="68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234">
        <f>SUM(U42:AU42)</f>
        <v>0</v>
      </c>
      <c r="AW42" s="278"/>
      <c r="AX42" s="271">
        <v>0</v>
      </c>
      <c r="AY42" s="220">
        <f>-276+276</f>
        <v>0</v>
      </c>
      <c r="AZ42" s="5">
        <f>SUM(AY42-AX42)</f>
        <v>0</v>
      </c>
      <c r="BA42" s="68"/>
      <c r="BB42" s="229"/>
      <c r="BC42" s="230"/>
      <c r="BD42" s="238"/>
      <c r="BE42" s="238"/>
    </row>
    <row r="43" spans="1:57" s="11" customFormat="1" ht="13.5" thickBot="1">
      <c r="A43" s="48"/>
      <c r="B43" s="295"/>
      <c r="C43" s="295"/>
      <c r="D43" s="295"/>
      <c r="E43" s="306" t="s">
        <v>121</v>
      </c>
      <c r="F43" s="298">
        <f>SUM(F41:F42)</f>
        <v>25897</v>
      </c>
      <c r="G43" s="298">
        <f>SUM(G41:G42)</f>
        <v>3200</v>
      </c>
      <c r="H43" s="298">
        <f>SUM(H41:H42)</f>
        <v>29097</v>
      </c>
      <c r="I43" s="298">
        <f>SUM(I41:I42)</f>
        <v>-3200</v>
      </c>
      <c r="J43" s="299">
        <f>SUM(J41:J42)</f>
        <v>25897</v>
      </c>
      <c r="K43" s="300"/>
      <c r="L43" s="297">
        <f>SUM(L41:L42)</f>
        <v>0</v>
      </c>
      <c r="M43" s="297">
        <f>SUM(M41:M42)</f>
        <v>-86</v>
      </c>
      <c r="N43" s="299">
        <f>SUM(N41:N42)</f>
        <v>25811</v>
      </c>
      <c r="O43" s="297"/>
      <c r="P43" s="297">
        <f>SUM(F43)</f>
        <v>25897</v>
      </c>
      <c r="Q43" s="297">
        <f>SUM(J43)</f>
        <v>25897</v>
      </c>
      <c r="R43" s="297">
        <f>SUM(L43+M43)</f>
        <v>-86</v>
      </c>
      <c r="S43" s="297">
        <f>SUM(S41)</f>
        <v>0</v>
      </c>
      <c r="T43" s="297">
        <f>SUM(T41)</f>
        <v>0</v>
      </c>
      <c r="U43" s="297">
        <f>SUM(Q43:T43)</f>
        <v>25811</v>
      </c>
      <c r="V43" s="297">
        <f>SUM(V41:V42)</f>
        <v>0</v>
      </c>
      <c r="W43" s="297">
        <f aca="true" t="shared" si="20" ref="W43:AD43">SUM(W41:W42)</f>
        <v>0</v>
      </c>
      <c r="X43" s="297">
        <f t="shared" si="20"/>
        <v>0</v>
      </c>
      <c r="Y43" s="297">
        <f>SUM(Y41:Y42)</f>
        <v>0</v>
      </c>
      <c r="Z43" s="297">
        <f>SUM(Z41:Z42)</f>
        <v>0</v>
      </c>
      <c r="AA43" s="297">
        <f t="shared" si="20"/>
        <v>0</v>
      </c>
      <c r="AB43" s="297">
        <f t="shared" si="20"/>
        <v>0</v>
      </c>
      <c r="AC43" s="297">
        <f t="shared" si="20"/>
        <v>0</v>
      </c>
      <c r="AD43" s="297">
        <f t="shared" si="20"/>
        <v>-276</v>
      </c>
      <c r="AE43" s="297">
        <f aca="true" t="shared" si="21" ref="AE43:AT43">SUM(AE41:AE42)</f>
        <v>0</v>
      </c>
      <c r="AF43" s="297">
        <f t="shared" si="21"/>
        <v>0</v>
      </c>
      <c r="AG43" s="297">
        <f t="shared" si="21"/>
        <v>0</v>
      </c>
      <c r="AH43" s="297">
        <f t="shared" si="21"/>
        <v>0</v>
      </c>
      <c r="AI43" s="297">
        <f t="shared" si="21"/>
        <v>0</v>
      </c>
      <c r="AJ43" s="297">
        <f t="shared" si="21"/>
        <v>0</v>
      </c>
      <c r="AK43" s="297">
        <f t="shared" si="21"/>
        <v>0</v>
      </c>
      <c r="AL43" s="297">
        <f t="shared" si="21"/>
        <v>0</v>
      </c>
      <c r="AM43" s="297">
        <f t="shared" si="21"/>
        <v>0</v>
      </c>
      <c r="AN43" s="297">
        <f t="shared" si="21"/>
        <v>0</v>
      </c>
      <c r="AO43" s="297">
        <f t="shared" si="21"/>
        <v>0</v>
      </c>
      <c r="AP43" s="297">
        <f t="shared" si="21"/>
        <v>0</v>
      </c>
      <c r="AQ43" s="297">
        <f t="shared" si="21"/>
        <v>0</v>
      </c>
      <c r="AR43" s="297">
        <f t="shared" si="21"/>
        <v>0</v>
      </c>
      <c r="AS43" s="297">
        <f t="shared" si="21"/>
        <v>0</v>
      </c>
      <c r="AT43" s="297">
        <f t="shared" si="21"/>
        <v>0</v>
      </c>
      <c r="AU43" s="297">
        <f>SUM(AU41:AU42)</f>
        <v>0</v>
      </c>
      <c r="AV43" s="307">
        <f>SUM(AV41:AV42)</f>
        <v>25535</v>
      </c>
      <c r="AW43" s="302"/>
      <c r="AX43" s="303">
        <f>SUM(AX41)</f>
        <v>25535</v>
      </c>
      <c r="AY43" s="304">
        <f>SUM(AY41:AY42)</f>
        <v>25535</v>
      </c>
      <c r="AZ43" s="305">
        <f>SUM(AZ41:AZ42)</f>
        <v>0</v>
      </c>
      <c r="BA43" s="79"/>
      <c r="BB43" s="129"/>
      <c r="BC43" s="230"/>
      <c r="BD43" s="52"/>
      <c r="BE43" s="52"/>
    </row>
    <row r="44" spans="1:57" ht="12.75">
      <c r="A44" s="66"/>
      <c r="B44" s="67"/>
      <c r="C44" s="67"/>
      <c r="D44" s="67"/>
      <c r="E44" s="3"/>
      <c r="F44" s="4"/>
      <c r="G44" s="4"/>
      <c r="H44" s="4"/>
      <c r="I44" s="68"/>
      <c r="J44" s="72"/>
      <c r="K44" s="293"/>
      <c r="L44" s="4"/>
      <c r="M44" s="4"/>
      <c r="N44" s="72"/>
      <c r="O44" s="4"/>
      <c r="P44" s="4"/>
      <c r="Q44" s="4"/>
      <c r="R44" s="4"/>
      <c r="S44" s="4"/>
      <c r="T44" s="4"/>
      <c r="U44" s="4"/>
      <c r="V44" s="4"/>
      <c r="W44" s="4"/>
      <c r="X44" s="68"/>
      <c r="Y44" s="68"/>
      <c r="Z44" s="68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232"/>
      <c r="AW44" s="278"/>
      <c r="AX44" s="271"/>
      <c r="AY44" s="220"/>
      <c r="AZ44" s="5"/>
      <c r="BA44" s="68"/>
      <c r="BB44" s="229"/>
      <c r="BC44" s="230"/>
      <c r="BD44" s="238"/>
      <c r="BE44" s="238"/>
    </row>
    <row r="45" spans="1:57" ht="13.5" thickBot="1">
      <c r="A45" s="73" t="s">
        <v>1</v>
      </c>
      <c r="B45" s="67" t="s">
        <v>14</v>
      </c>
      <c r="C45" s="74" t="s">
        <v>30</v>
      </c>
      <c r="D45" s="67">
        <v>36</v>
      </c>
      <c r="E45" s="3" t="s">
        <v>15</v>
      </c>
      <c r="F45" s="4">
        <v>19214</v>
      </c>
      <c r="G45" s="4">
        <v>-9200</v>
      </c>
      <c r="H45" s="4">
        <f>SUM(F45:G45)</f>
        <v>10014</v>
      </c>
      <c r="I45" s="68">
        <v>0</v>
      </c>
      <c r="J45" s="72">
        <f>SUM(H45:I45)</f>
        <v>10014</v>
      </c>
      <c r="K45" s="293"/>
      <c r="L45" s="4">
        <v>0</v>
      </c>
      <c r="M45" s="4">
        <v>-30</v>
      </c>
      <c r="N45" s="72">
        <f>SUM(J45:M45)</f>
        <v>9984</v>
      </c>
      <c r="O45" s="4"/>
      <c r="P45" s="4">
        <f>SUM(F45)</f>
        <v>19214</v>
      </c>
      <c r="Q45" s="4">
        <f>SUM(J45)</f>
        <v>10014</v>
      </c>
      <c r="R45" s="4">
        <f>SUM(L45+M45)</f>
        <v>-30</v>
      </c>
      <c r="S45" s="4">
        <v>0</v>
      </c>
      <c r="T45" s="4">
        <v>0</v>
      </c>
      <c r="U45" s="4">
        <f>SUM(Q45:T45)</f>
        <v>9984</v>
      </c>
      <c r="V45" s="4">
        <v>0</v>
      </c>
      <c r="W45" s="4">
        <v>0</v>
      </c>
      <c r="X45" s="68">
        <v>0</v>
      </c>
      <c r="Y45" s="68">
        <v>0</v>
      </c>
      <c r="Z45" s="68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f>SUM(AY45-AX45)</f>
        <v>0</v>
      </c>
      <c r="AV45" s="232">
        <f>SUM(U45:AU45)</f>
        <v>9984</v>
      </c>
      <c r="AW45" s="278"/>
      <c r="AX45" s="271">
        <v>9984</v>
      </c>
      <c r="AY45" s="220">
        <v>9984</v>
      </c>
      <c r="AZ45" s="5">
        <f>SUM(AY45-AX45)</f>
        <v>0</v>
      </c>
      <c r="BA45" s="68"/>
      <c r="BB45" s="229"/>
      <c r="BC45" s="230"/>
      <c r="BD45" s="238"/>
      <c r="BE45" s="238"/>
    </row>
    <row r="46" spans="1:57" s="11" customFormat="1" ht="13.5" thickBot="1">
      <c r="A46" s="48"/>
      <c r="B46" s="295"/>
      <c r="C46" s="295"/>
      <c r="D46" s="295"/>
      <c r="E46" s="306" t="s">
        <v>122</v>
      </c>
      <c r="F46" s="297">
        <f>SUM(F45)</f>
        <v>19214</v>
      </c>
      <c r="G46" s="297">
        <f>SUM(G45)</f>
        <v>-9200</v>
      </c>
      <c r="H46" s="297">
        <f>SUM(H45)</f>
        <v>10014</v>
      </c>
      <c r="I46" s="298">
        <f>SUM(I45)</f>
        <v>0</v>
      </c>
      <c r="J46" s="299">
        <f>SUM(J45)</f>
        <v>10014</v>
      </c>
      <c r="K46" s="300"/>
      <c r="L46" s="297">
        <f>SUM(L45)</f>
        <v>0</v>
      </c>
      <c r="M46" s="297">
        <f>SUM(M45)</f>
        <v>-30</v>
      </c>
      <c r="N46" s="299">
        <f>SUM(N45)</f>
        <v>9984</v>
      </c>
      <c r="O46" s="297"/>
      <c r="P46" s="297">
        <f>SUM(F46)</f>
        <v>19214</v>
      </c>
      <c r="Q46" s="297">
        <f>SUM(J46)</f>
        <v>10014</v>
      </c>
      <c r="R46" s="297">
        <f>SUM(L46+M46)</f>
        <v>-30</v>
      </c>
      <c r="S46" s="297">
        <f>SUM(S45)</f>
        <v>0</v>
      </c>
      <c r="T46" s="297">
        <f>SUM(T45)</f>
        <v>0</v>
      </c>
      <c r="U46" s="297">
        <f>SUM(Q46:T46)</f>
        <v>9984</v>
      </c>
      <c r="V46" s="297">
        <f aca="true" t="shared" si="22" ref="V46:AF46">SUM(V45)</f>
        <v>0</v>
      </c>
      <c r="W46" s="297">
        <f t="shared" si="22"/>
        <v>0</v>
      </c>
      <c r="X46" s="298">
        <f t="shared" si="22"/>
        <v>0</v>
      </c>
      <c r="Y46" s="298">
        <f t="shared" si="22"/>
        <v>0</v>
      </c>
      <c r="Z46" s="298">
        <f t="shared" si="22"/>
        <v>0</v>
      </c>
      <c r="AA46" s="297">
        <f t="shared" si="22"/>
        <v>0</v>
      </c>
      <c r="AB46" s="297">
        <f t="shared" si="22"/>
        <v>0</v>
      </c>
      <c r="AC46" s="297">
        <f t="shared" si="22"/>
        <v>0</v>
      </c>
      <c r="AD46" s="297">
        <f t="shared" si="22"/>
        <v>0</v>
      </c>
      <c r="AE46" s="297">
        <f t="shared" si="22"/>
        <v>0</v>
      </c>
      <c r="AF46" s="297">
        <f t="shared" si="22"/>
        <v>0</v>
      </c>
      <c r="AG46" s="297">
        <f aca="true" t="shared" si="23" ref="AG46:AU46">SUM(AG45)</f>
        <v>0</v>
      </c>
      <c r="AH46" s="297">
        <f t="shared" si="23"/>
        <v>0</v>
      </c>
      <c r="AI46" s="297">
        <f t="shared" si="23"/>
        <v>0</v>
      </c>
      <c r="AJ46" s="297">
        <f t="shared" si="23"/>
        <v>0</v>
      </c>
      <c r="AK46" s="297">
        <f t="shared" si="23"/>
        <v>0</v>
      </c>
      <c r="AL46" s="297">
        <f t="shared" si="23"/>
        <v>0</v>
      </c>
      <c r="AM46" s="297">
        <f t="shared" si="23"/>
        <v>0</v>
      </c>
      <c r="AN46" s="297">
        <f t="shared" si="23"/>
        <v>0</v>
      </c>
      <c r="AO46" s="297">
        <f t="shared" si="23"/>
        <v>0</v>
      </c>
      <c r="AP46" s="297">
        <f t="shared" si="23"/>
        <v>0</v>
      </c>
      <c r="AQ46" s="297">
        <f t="shared" si="23"/>
        <v>0</v>
      </c>
      <c r="AR46" s="297">
        <f t="shared" si="23"/>
        <v>0</v>
      </c>
      <c r="AS46" s="297">
        <f t="shared" si="23"/>
        <v>0</v>
      </c>
      <c r="AT46" s="297">
        <f t="shared" si="23"/>
        <v>0</v>
      </c>
      <c r="AU46" s="297">
        <f t="shared" si="23"/>
        <v>0</v>
      </c>
      <c r="AV46" s="301">
        <f>SUM(AV45)</f>
        <v>9984</v>
      </c>
      <c r="AW46" s="302"/>
      <c r="AX46" s="303">
        <f>SUM(AX45)</f>
        <v>9984</v>
      </c>
      <c r="AY46" s="304">
        <f>SUM(AY45)</f>
        <v>9984</v>
      </c>
      <c r="AZ46" s="305">
        <f>SUM(AZ45)</f>
        <v>0</v>
      </c>
      <c r="BA46" s="79"/>
      <c r="BB46" s="129"/>
      <c r="BC46" s="230"/>
      <c r="BD46" s="52"/>
      <c r="BE46" s="52"/>
    </row>
    <row r="47" spans="1:57" ht="12.75">
      <c r="A47" s="66"/>
      <c r="B47" s="67"/>
      <c r="C47" s="67"/>
      <c r="D47" s="67"/>
      <c r="E47" s="3"/>
      <c r="F47" s="4"/>
      <c r="G47" s="4"/>
      <c r="H47" s="4"/>
      <c r="I47" s="68"/>
      <c r="J47" s="72"/>
      <c r="K47" s="293"/>
      <c r="L47" s="4"/>
      <c r="M47" s="4"/>
      <c r="N47" s="72"/>
      <c r="O47" s="4"/>
      <c r="P47" s="4"/>
      <c r="Q47" s="4"/>
      <c r="R47" s="4"/>
      <c r="S47" s="4"/>
      <c r="T47" s="4"/>
      <c r="U47" s="4"/>
      <c r="V47" s="4"/>
      <c r="W47" s="4"/>
      <c r="X47" s="68"/>
      <c r="Y47" s="68"/>
      <c r="Z47" s="68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232"/>
      <c r="AW47" s="278"/>
      <c r="AX47" s="271"/>
      <c r="AY47" s="220"/>
      <c r="AZ47" s="5"/>
      <c r="BA47" s="68"/>
      <c r="BB47" s="229"/>
      <c r="BC47" s="230"/>
      <c r="BD47" s="238"/>
      <c r="BE47" s="238"/>
    </row>
    <row r="48" spans="1:57" ht="13.5" thickBot="1">
      <c r="A48" s="73" t="s">
        <v>1</v>
      </c>
      <c r="B48" s="67" t="s">
        <v>16</v>
      </c>
      <c r="C48" s="74" t="s">
        <v>30</v>
      </c>
      <c r="D48" s="67">
        <v>40</v>
      </c>
      <c r="E48" s="3" t="s">
        <v>17</v>
      </c>
      <c r="F48" s="4">
        <v>5621</v>
      </c>
      <c r="G48" s="4">
        <v>0</v>
      </c>
      <c r="H48" s="4">
        <f>SUM(F48:G48)</f>
        <v>5621</v>
      </c>
      <c r="I48" s="68">
        <v>3200</v>
      </c>
      <c r="J48" s="72">
        <f>SUM(H48:I48)</f>
        <v>8821</v>
      </c>
      <c r="K48" s="293"/>
      <c r="L48" s="4">
        <v>0</v>
      </c>
      <c r="M48" s="4">
        <v>-17</v>
      </c>
      <c r="N48" s="72">
        <f>SUM(J48:M48)</f>
        <v>8804</v>
      </c>
      <c r="O48" s="4"/>
      <c r="P48" s="4">
        <f>SUM(F48)</f>
        <v>5621</v>
      </c>
      <c r="Q48" s="4">
        <f>SUM(J48)</f>
        <v>8821</v>
      </c>
      <c r="R48" s="4">
        <f>SUM(L48+M48)</f>
        <v>-17</v>
      </c>
      <c r="S48" s="4">
        <v>0</v>
      </c>
      <c r="T48" s="4">
        <v>0</v>
      </c>
      <c r="U48" s="4">
        <f>SUM(Q48:T48)</f>
        <v>8804</v>
      </c>
      <c r="V48" s="4">
        <v>0</v>
      </c>
      <c r="W48" s="68">
        <f>3200-3200</f>
        <v>0</v>
      </c>
      <c r="X48" s="68">
        <v>0</v>
      </c>
      <c r="Y48" s="68">
        <v>0</v>
      </c>
      <c r="Z48" s="68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f>SUM(AY48-AX48)</f>
        <v>0</v>
      </c>
      <c r="AV48" s="232">
        <f>SUM(U48:AU48)</f>
        <v>8804</v>
      </c>
      <c r="AW48" s="278"/>
      <c r="AX48" s="271">
        <v>8804</v>
      </c>
      <c r="AY48" s="220">
        <v>8804</v>
      </c>
      <c r="AZ48" s="5">
        <f>SUM(AY48-AX48)</f>
        <v>0</v>
      </c>
      <c r="BA48" s="68"/>
      <c r="BB48" s="229"/>
      <c r="BC48" s="230"/>
      <c r="BD48" s="238"/>
      <c r="BE48" s="238"/>
    </row>
    <row r="49" spans="1:57" s="11" customFormat="1" ht="13.5" thickBot="1">
      <c r="A49" s="48"/>
      <c r="B49" s="295"/>
      <c r="C49" s="295"/>
      <c r="D49" s="295"/>
      <c r="E49" s="306" t="s">
        <v>66</v>
      </c>
      <c r="F49" s="297">
        <f>SUM(F48)</f>
        <v>5621</v>
      </c>
      <c r="G49" s="297">
        <f>SUM(G48)</f>
        <v>0</v>
      </c>
      <c r="H49" s="297">
        <f>SUM(H48)</f>
        <v>5621</v>
      </c>
      <c r="I49" s="298">
        <f>SUM(I48)</f>
        <v>3200</v>
      </c>
      <c r="J49" s="299">
        <f>SUM(J48)</f>
        <v>8821</v>
      </c>
      <c r="K49" s="300"/>
      <c r="L49" s="297">
        <f>SUM(L48)</f>
        <v>0</v>
      </c>
      <c r="M49" s="297">
        <f>SUM(M48)</f>
        <v>-17</v>
      </c>
      <c r="N49" s="299">
        <f>SUM(N48)</f>
        <v>8804</v>
      </c>
      <c r="O49" s="297"/>
      <c r="P49" s="297">
        <f>SUM(F49)</f>
        <v>5621</v>
      </c>
      <c r="Q49" s="297">
        <f>SUM(J49)</f>
        <v>8821</v>
      </c>
      <c r="R49" s="297">
        <f>SUM(L49+M49)</f>
        <v>-17</v>
      </c>
      <c r="S49" s="297">
        <f>SUM(S48)</f>
        <v>0</v>
      </c>
      <c r="T49" s="297">
        <f>SUM(T48)</f>
        <v>0</v>
      </c>
      <c r="U49" s="297">
        <f>SUM(Q49:T49)</f>
        <v>8804</v>
      </c>
      <c r="V49" s="297">
        <f aca="true" t="shared" si="24" ref="V49:AF49">SUM(V48)</f>
        <v>0</v>
      </c>
      <c r="W49" s="297">
        <f t="shared" si="24"/>
        <v>0</v>
      </c>
      <c r="X49" s="298">
        <f t="shared" si="24"/>
        <v>0</v>
      </c>
      <c r="Y49" s="298">
        <f t="shared" si="24"/>
        <v>0</v>
      </c>
      <c r="Z49" s="298">
        <f t="shared" si="24"/>
        <v>0</v>
      </c>
      <c r="AA49" s="297">
        <f t="shared" si="24"/>
        <v>0</v>
      </c>
      <c r="AB49" s="297">
        <f t="shared" si="24"/>
        <v>0</v>
      </c>
      <c r="AC49" s="297">
        <f t="shared" si="24"/>
        <v>0</v>
      </c>
      <c r="AD49" s="297">
        <f t="shared" si="24"/>
        <v>0</v>
      </c>
      <c r="AE49" s="297">
        <f t="shared" si="24"/>
        <v>0</v>
      </c>
      <c r="AF49" s="297">
        <f t="shared" si="24"/>
        <v>0</v>
      </c>
      <c r="AG49" s="297">
        <f aca="true" t="shared" si="25" ref="AG49:AU49">SUM(AG48)</f>
        <v>0</v>
      </c>
      <c r="AH49" s="297">
        <f t="shared" si="25"/>
        <v>0</v>
      </c>
      <c r="AI49" s="297">
        <f t="shared" si="25"/>
        <v>0</v>
      </c>
      <c r="AJ49" s="297">
        <f t="shared" si="25"/>
        <v>0</v>
      </c>
      <c r="AK49" s="297">
        <f t="shared" si="25"/>
        <v>0</v>
      </c>
      <c r="AL49" s="297">
        <f t="shared" si="25"/>
        <v>0</v>
      </c>
      <c r="AM49" s="297">
        <f t="shared" si="25"/>
        <v>0</v>
      </c>
      <c r="AN49" s="297">
        <f t="shared" si="25"/>
        <v>0</v>
      </c>
      <c r="AO49" s="297">
        <f t="shared" si="25"/>
        <v>0</v>
      </c>
      <c r="AP49" s="297">
        <f t="shared" si="25"/>
        <v>0</v>
      </c>
      <c r="AQ49" s="297">
        <f t="shared" si="25"/>
        <v>0</v>
      </c>
      <c r="AR49" s="297">
        <f t="shared" si="25"/>
        <v>0</v>
      </c>
      <c r="AS49" s="297">
        <f t="shared" si="25"/>
        <v>0</v>
      </c>
      <c r="AT49" s="297">
        <f t="shared" si="25"/>
        <v>0</v>
      </c>
      <c r="AU49" s="297">
        <f t="shared" si="25"/>
        <v>0</v>
      </c>
      <c r="AV49" s="301">
        <f>SUM(AV48)</f>
        <v>8804</v>
      </c>
      <c r="AW49" s="302"/>
      <c r="AX49" s="303">
        <f>SUM(AX48)</f>
        <v>8804</v>
      </c>
      <c r="AY49" s="304">
        <f>SUM(AY48)</f>
        <v>8804</v>
      </c>
      <c r="AZ49" s="305">
        <f>SUM(AZ48)</f>
        <v>0</v>
      </c>
      <c r="BA49" s="79"/>
      <c r="BB49" s="129"/>
      <c r="BC49" s="230"/>
      <c r="BD49" s="52"/>
      <c r="BE49" s="52"/>
    </row>
    <row r="50" spans="1:57" ht="12.75">
      <c r="A50" s="66"/>
      <c r="B50" s="67"/>
      <c r="C50" s="67"/>
      <c r="D50" s="67"/>
      <c r="E50" s="3"/>
      <c r="F50" s="4"/>
      <c r="G50" s="4"/>
      <c r="H50" s="4"/>
      <c r="I50" s="68"/>
      <c r="J50" s="72"/>
      <c r="K50" s="293"/>
      <c r="L50" s="4"/>
      <c r="M50" s="4"/>
      <c r="N50" s="72"/>
      <c r="O50" s="4"/>
      <c r="P50" s="4"/>
      <c r="Q50" s="4"/>
      <c r="R50" s="4"/>
      <c r="S50" s="4"/>
      <c r="T50" s="4"/>
      <c r="U50" s="4"/>
      <c r="V50" s="4"/>
      <c r="W50" s="4"/>
      <c r="X50" s="68"/>
      <c r="Y50" s="68"/>
      <c r="Z50" s="68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232"/>
      <c r="AW50" s="278"/>
      <c r="AX50" s="271"/>
      <c r="AY50" s="220"/>
      <c r="AZ50" s="5"/>
      <c r="BA50" s="68"/>
      <c r="BB50" s="229"/>
      <c r="BC50" s="230"/>
      <c r="BD50" s="238"/>
      <c r="BE50" s="238"/>
    </row>
    <row r="51" spans="1:57" ht="13.5" thickBot="1">
      <c r="A51" s="73" t="s">
        <v>1</v>
      </c>
      <c r="B51" s="67" t="s">
        <v>112</v>
      </c>
      <c r="C51" s="74" t="s">
        <v>30</v>
      </c>
      <c r="D51" s="67">
        <v>46</v>
      </c>
      <c r="E51" s="3" t="s">
        <v>12</v>
      </c>
      <c r="F51" s="4">
        <v>11158</v>
      </c>
      <c r="G51" s="4">
        <v>0</v>
      </c>
      <c r="H51" s="4">
        <f>SUM(F51:G51)</f>
        <v>11158</v>
      </c>
      <c r="I51" s="68">
        <v>0</v>
      </c>
      <c r="J51" s="72">
        <f>SUM(H51:I51)</f>
        <v>11158</v>
      </c>
      <c r="K51" s="293"/>
      <c r="L51" s="4">
        <v>0</v>
      </c>
      <c r="M51" s="4">
        <v>-33</v>
      </c>
      <c r="N51" s="72">
        <f>SUM(J51:M51)</f>
        <v>11125</v>
      </c>
      <c r="O51" s="4"/>
      <c r="P51" s="4">
        <f>SUM(F51)</f>
        <v>11158</v>
      </c>
      <c r="Q51" s="4">
        <f>SUM(J51)</f>
        <v>11158</v>
      </c>
      <c r="R51" s="4">
        <f>SUM(L51+M51)</f>
        <v>-33</v>
      </c>
      <c r="S51" s="4">
        <v>0</v>
      </c>
      <c r="T51" s="4">
        <v>0</v>
      </c>
      <c r="U51" s="4">
        <f>SUM(Q51:T51)</f>
        <v>11125</v>
      </c>
      <c r="V51" s="4">
        <v>0</v>
      </c>
      <c r="W51" s="4">
        <v>0</v>
      </c>
      <c r="X51" s="68">
        <v>0</v>
      </c>
      <c r="Y51" s="68">
        <v>0</v>
      </c>
      <c r="Z51" s="68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f>SUM(AY51-AX51)</f>
        <v>0</v>
      </c>
      <c r="AV51" s="232">
        <f>SUM(U51:AU51)</f>
        <v>11125</v>
      </c>
      <c r="AW51" s="278"/>
      <c r="AX51" s="271">
        <v>11125</v>
      </c>
      <c r="AY51" s="220">
        <v>11125</v>
      </c>
      <c r="AZ51" s="5">
        <f>SUM(AY51-AX51)</f>
        <v>0</v>
      </c>
      <c r="BA51" s="68"/>
      <c r="BB51" s="229"/>
      <c r="BC51" s="230"/>
      <c r="BD51" s="238"/>
      <c r="BE51" s="238"/>
    </row>
    <row r="52" spans="1:57" s="11" customFormat="1" ht="13.5" thickBot="1">
      <c r="A52" s="48"/>
      <c r="B52" s="295"/>
      <c r="C52" s="295"/>
      <c r="D52" s="295"/>
      <c r="E52" s="306" t="s">
        <v>123</v>
      </c>
      <c r="F52" s="297">
        <f>SUM(F51)</f>
        <v>11158</v>
      </c>
      <c r="G52" s="297">
        <f>SUM(G51)</f>
        <v>0</v>
      </c>
      <c r="H52" s="297">
        <f>SUM(H51)</f>
        <v>11158</v>
      </c>
      <c r="I52" s="298">
        <f>SUM(I51)</f>
        <v>0</v>
      </c>
      <c r="J52" s="299">
        <f>SUM(J51)</f>
        <v>11158</v>
      </c>
      <c r="K52" s="300"/>
      <c r="L52" s="297">
        <f>SUM(L51)</f>
        <v>0</v>
      </c>
      <c r="M52" s="297">
        <f>SUM(M51)</f>
        <v>-33</v>
      </c>
      <c r="N52" s="299">
        <f>SUM(N51)</f>
        <v>11125</v>
      </c>
      <c r="O52" s="297"/>
      <c r="P52" s="297">
        <f>SUM(F52)</f>
        <v>11158</v>
      </c>
      <c r="Q52" s="297">
        <f>SUM(J52)</f>
        <v>11158</v>
      </c>
      <c r="R52" s="297">
        <f>SUM(L52+M52)</f>
        <v>-33</v>
      </c>
      <c r="S52" s="297">
        <f>SUM(S51)</f>
        <v>0</v>
      </c>
      <c r="T52" s="297">
        <f>SUM(T51)</f>
        <v>0</v>
      </c>
      <c r="U52" s="297">
        <f>SUM(Q52:T52)</f>
        <v>11125</v>
      </c>
      <c r="V52" s="297">
        <f aca="true" t="shared" si="26" ref="V52:AF52">SUM(V51)</f>
        <v>0</v>
      </c>
      <c r="W52" s="297">
        <f t="shared" si="26"/>
        <v>0</v>
      </c>
      <c r="X52" s="298">
        <f t="shared" si="26"/>
        <v>0</v>
      </c>
      <c r="Y52" s="298">
        <f t="shared" si="26"/>
        <v>0</v>
      </c>
      <c r="Z52" s="298">
        <f t="shared" si="26"/>
        <v>0</v>
      </c>
      <c r="AA52" s="297">
        <f t="shared" si="26"/>
        <v>0</v>
      </c>
      <c r="AB52" s="297">
        <f t="shared" si="26"/>
        <v>0</v>
      </c>
      <c r="AC52" s="297">
        <f t="shared" si="26"/>
        <v>0</v>
      </c>
      <c r="AD52" s="297">
        <f t="shared" si="26"/>
        <v>0</v>
      </c>
      <c r="AE52" s="297">
        <f t="shared" si="26"/>
        <v>0</v>
      </c>
      <c r="AF52" s="297">
        <f t="shared" si="26"/>
        <v>0</v>
      </c>
      <c r="AG52" s="297">
        <f aca="true" t="shared" si="27" ref="AG52:AU52">SUM(AG51)</f>
        <v>0</v>
      </c>
      <c r="AH52" s="297">
        <f t="shared" si="27"/>
        <v>0</v>
      </c>
      <c r="AI52" s="297">
        <f t="shared" si="27"/>
        <v>0</v>
      </c>
      <c r="AJ52" s="297">
        <f t="shared" si="27"/>
        <v>0</v>
      </c>
      <c r="AK52" s="297">
        <f t="shared" si="27"/>
        <v>0</v>
      </c>
      <c r="AL52" s="297">
        <f t="shared" si="27"/>
        <v>0</v>
      </c>
      <c r="AM52" s="297">
        <f t="shared" si="27"/>
        <v>0</v>
      </c>
      <c r="AN52" s="297">
        <f t="shared" si="27"/>
        <v>0</v>
      </c>
      <c r="AO52" s="297">
        <f t="shared" si="27"/>
        <v>0</v>
      </c>
      <c r="AP52" s="297">
        <f t="shared" si="27"/>
        <v>0</v>
      </c>
      <c r="AQ52" s="297">
        <f t="shared" si="27"/>
        <v>0</v>
      </c>
      <c r="AR52" s="297">
        <f t="shared" si="27"/>
        <v>0</v>
      </c>
      <c r="AS52" s="297">
        <f t="shared" si="27"/>
        <v>0</v>
      </c>
      <c r="AT52" s="297">
        <f t="shared" si="27"/>
        <v>0</v>
      </c>
      <c r="AU52" s="297">
        <f t="shared" si="27"/>
        <v>0</v>
      </c>
      <c r="AV52" s="301">
        <f>SUM(AV51)</f>
        <v>11125</v>
      </c>
      <c r="AW52" s="302"/>
      <c r="AX52" s="303">
        <f>SUM(AX51)</f>
        <v>11125</v>
      </c>
      <c r="AY52" s="304">
        <f>SUM(AY51)</f>
        <v>11125</v>
      </c>
      <c r="AZ52" s="305">
        <f>SUM(AZ51)</f>
        <v>0</v>
      </c>
      <c r="BA52" s="79"/>
      <c r="BB52" s="129"/>
      <c r="BC52" s="230"/>
      <c r="BD52" s="52"/>
      <c r="BE52" s="52"/>
    </row>
    <row r="53" spans="1:57" ht="12.75">
      <c r="A53" s="66"/>
      <c r="B53" s="67"/>
      <c r="C53" s="67"/>
      <c r="D53" s="67"/>
      <c r="E53" s="3"/>
      <c r="F53" s="4"/>
      <c r="G53" s="4"/>
      <c r="H53" s="4"/>
      <c r="I53" s="68"/>
      <c r="J53" s="72"/>
      <c r="K53" s="293"/>
      <c r="L53" s="4"/>
      <c r="M53" s="4"/>
      <c r="N53" s="72"/>
      <c r="O53" s="4"/>
      <c r="P53" s="4"/>
      <c r="Q53" s="4"/>
      <c r="R53" s="4"/>
      <c r="S53" s="4"/>
      <c r="T53" s="4"/>
      <c r="U53" s="4"/>
      <c r="V53" s="4"/>
      <c r="W53" s="4"/>
      <c r="X53" s="68"/>
      <c r="Y53" s="68"/>
      <c r="Z53" s="68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232"/>
      <c r="AW53" s="278"/>
      <c r="AX53" s="271"/>
      <c r="AY53" s="220"/>
      <c r="AZ53" s="5"/>
      <c r="BA53" s="68"/>
      <c r="BB53" s="229"/>
      <c r="BC53" s="230"/>
      <c r="BD53" s="238"/>
      <c r="BE53" s="238"/>
    </row>
    <row r="54" spans="1:57" ht="13.5" thickBot="1">
      <c r="A54" s="73" t="s">
        <v>1</v>
      </c>
      <c r="B54" s="67" t="s">
        <v>18</v>
      </c>
      <c r="C54" s="74" t="s">
        <v>30</v>
      </c>
      <c r="D54" s="67">
        <v>42</v>
      </c>
      <c r="E54" s="3" t="s">
        <v>124</v>
      </c>
      <c r="F54" s="4">
        <v>1498</v>
      </c>
      <c r="G54" s="4">
        <v>0</v>
      </c>
      <c r="H54" s="4">
        <f>SUM(F54:G54)</f>
        <v>1498</v>
      </c>
      <c r="I54" s="68">
        <v>0</v>
      </c>
      <c r="J54" s="72">
        <f>SUM(H54:I54)</f>
        <v>1498</v>
      </c>
      <c r="K54" s="293"/>
      <c r="L54" s="4">
        <v>0</v>
      </c>
      <c r="M54" s="4">
        <v>-4</v>
      </c>
      <c r="N54" s="72">
        <f>SUM(J54:M54)</f>
        <v>1494</v>
      </c>
      <c r="O54" s="4"/>
      <c r="P54" s="4">
        <f>SUM(F54)</f>
        <v>1498</v>
      </c>
      <c r="Q54" s="4">
        <f>SUM(J54)</f>
        <v>1498</v>
      </c>
      <c r="R54" s="4">
        <f>SUM(L54+M54)</f>
        <v>-4</v>
      </c>
      <c r="S54" s="4">
        <v>0</v>
      </c>
      <c r="T54" s="4">
        <v>0</v>
      </c>
      <c r="U54" s="4">
        <f>SUM(Q54:T54)</f>
        <v>1494</v>
      </c>
      <c r="V54" s="4">
        <v>0</v>
      </c>
      <c r="W54" s="4">
        <v>0</v>
      </c>
      <c r="X54" s="68">
        <v>0</v>
      </c>
      <c r="Y54" s="68">
        <v>0</v>
      </c>
      <c r="Z54" s="68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f>SUM(AY54-AX54)</f>
        <v>0</v>
      </c>
      <c r="AV54" s="232">
        <f>SUM(U54:AU54)</f>
        <v>1494</v>
      </c>
      <c r="AW54" s="278"/>
      <c r="AX54" s="271">
        <v>1494</v>
      </c>
      <c r="AY54" s="220">
        <v>1494</v>
      </c>
      <c r="AZ54" s="5">
        <f>SUM(AY54-AX54)</f>
        <v>0</v>
      </c>
      <c r="BA54" s="68"/>
      <c r="BB54" s="229"/>
      <c r="BC54" s="230"/>
      <c r="BD54" s="238"/>
      <c r="BE54" s="238"/>
    </row>
    <row r="55" spans="1:57" s="11" customFormat="1" ht="13.5" thickBot="1">
      <c r="A55" s="48"/>
      <c r="B55" s="295"/>
      <c r="C55" s="295"/>
      <c r="D55" s="295"/>
      <c r="E55" s="306" t="s">
        <v>125</v>
      </c>
      <c r="F55" s="297">
        <f>SUM(F54)</f>
        <v>1498</v>
      </c>
      <c r="G55" s="297">
        <f>SUM(G54)</f>
        <v>0</v>
      </c>
      <c r="H55" s="297">
        <f>SUM(H54)</f>
        <v>1498</v>
      </c>
      <c r="I55" s="298">
        <f>SUM(I54)</f>
        <v>0</v>
      </c>
      <c r="J55" s="299">
        <f>SUM(J54)</f>
        <v>1498</v>
      </c>
      <c r="K55" s="300"/>
      <c r="L55" s="297">
        <f>SUM(L54)</f>
        <v>0</v>
      </c>
      <c r="M55" s="297">
        <f>SUM(M54)</f>
        <v>-4</v>
      </c>
      <c r="N55" s="299">
        <f>SUM(N54)</f>
        <v>1494</v>
      </c>
      <c r="O55" s="297"/>
      <c r="P55" s="297">
        <f>SUM(F55)</f>
        <v>1498</v>
      </c>
      <c r="Q55" s="297">
        <f>SUM(J55)</f>
        <v>1498</v>
      </c>
      <c r="R55" s="297">
        <f>SUM(L55+M55)</f>
        <v>-4</v>
      </c>
      <c r="S55" s="297">
        <f>SUM(S54)</f>
        <v>0</v>
      </c>
      <c r="T55" s="297">
        <f>SUM(T54)</f>
        <v>0</v>
      </c>
      <c r="U55" s="297">
        <f>SUM(Q55:T55)</f>
        <v>1494</v>
      </c>
      <c r="V55" s="297">
        <f aca="true" t="shared" si="28" ref="V55:AF55">SUM(V54)</f>
        <v>0</v>
      </c>
      <c r="W55" s="297">
        <f t="shared" si="28"/>
        <v>0</v>
      </c>
      <c r="X55" s="298">
        <f t="shared" si="28"/>
        <v>0</v>
      </c>
      <c r="Y55" s="298">
        <f t="shared" si="28"/>
        <v>0</v>
      </c>
      <c r="Z55" s="298">
        <f t="shared" si="28"/>
        <v>0</v>
      </c>
      <c r="AA55" s="297">
        <f t="shared" si="28"/>
        <v>0</v>
      </c>
      <c r="AB55" s="297">
        <f t="shared" si="28"/>
        <v>0</v>
      </c>
      <c r="AC55" s="297">
        <f t="shared" si="28"/>
        <v>0</v>
      </c>
      <c r="AD55" s="297">
        <f t="shared" si="28"/>
        <v>0</v>
      </c>
      <c r="AE55" s="297">
        <f t="shared" si="28"/>
        <v>0</v>
      </c>
      <c r="AF55" s="297">
        <f t="shared" si="28"/>
        <v>0</v>
      </c>
      <c r="AG55" s="297">
        <f aca="true" t="shared" si="29" ref="AG55:AU55">SUM(AG54)</f>
        <v>0</v>
      </c>
      <c r="AH55" s="297">
        <f t="shared" si="29"/>
        <v>0</v>
      </c>
      <c r="AI55" s="297">
        <f t="shared" si="29"/>
        <v>0</v>
      </c>
      <c r="AJ55" s="297">
        <f t="shared" si="29"/>
        <v>0</v>
      </c>
      <c r="AK55" s="297">
        <f t="shared" si="29"/>
        <v>0</v>
      </c>
      <c r="AL55" s="297">
        <f t="shared" si="29"/>
        <v>0</v>
      </c>
      <c r="AM55" s="297">
        <f t="shared" si="29"/>
        <v>0</v>
      </c>
      <c r="AN55" s="297">
        <f t="shared" si="29"/>
        <v>0</v>
      </c>
      <c r="AO55" s="297">
        <f t="shared" si="29"/>
        <v>0</v>
      </c>
      <c r="AP55" s="297">
        <f t="shared" si="29"/>
        <v>0</v>
      </c>
      <c r="AQ55" s="297">
        <f t="shared" si="29"/>
        <v>0</v>
      </c>
      <c r="AR55" s="297">
        <f t="shared" si="29"/>
        <v>0</v>
      </c>
      <c r="AS55" s="297">
        <f t="shared" si="29"/>
        <v>0</v>
      </c>
      <c r="AT55" s="297">
        <f t="shared" si="29"/>
        <v>0</v>
      </c>
      <c r="AU55" s="297">
        <f t="shared" si="29"/>
        <v>0</v>
      </c>
      <c r="AV55" s="301">
        <f>SUM(AV54)</f>
        <v>1494</v>
      </c>
      <c r="AW55" s="302"/>
      <c r="AX55" s="303">
        <f>SUM(AX54)</f>
        <v>1494</v>
      </c>
      <c r="AY55" s="304">
        <f>SUM(AY54)</f>
        <v>1494</v>
      </c>
      <c r="AZ55" s="305">
        <f>SUM(AZ54)</f>
        <v>0</v>
      </c>
      <c r="BA55" s="79"/>
      <c r="BB55" s="129"/>
      <c r="BC55" s="230"/>
      <c r="BD55" s="52"/>
      <c r="BE55" s="52"/>
    </row>
    <row r="56" spans="1:57" ht="12.75">
      <c r="A56" s="66"/>
      <c r="B56" s="67"/>
      <c r="C56" s="67"/>
      <c r="D56" s="67"/>
      <c r="E56" s="3"/>
      <c r="F56" s="4"/>
      <c r="G56" s="4"/>
      <c r="H56" s="4"/>
      <c r="I56" s="68"/>
      <c r="J56" s="72"/>
      <c r="K56" s="293"/>
      <c r="L56" s="4"/>
      <c r="M56" s="4"/>
      <c r="N56" s="72"/>
      <c r="O56" s="4"/>
      <c r="P56" s="4"/>
      <c r="Q56" s="4"/>
      <c r="R56" s="4"/>
      <c r="S56" s="4"/>
      <c r="T56" s="4"/>
      <c r="U56" s="4"/>
      <c r="V56" s="4"/>
      <c r="W56" s="4"/>
      <c r="X56" s="68"/>
      <c r="Y56" s="68"/>
      <c r="Z56" s="68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232"/>
      <c r="AW56" s="278"/>
      <c r="AX56" s="271"/>
      <c r="AY56" s="220"/>
      <c r="AZ56" s="5"/>
      <c r="BA56" s="68"/>
      <c r="BB56" s="229"/>
      <c r="BC56" s="230"/>
      <c r="BD56" s="238"/>
      <c r="BE56" s="238"/>
    </row>
    <row r="57" spans="1:57" ht="13.5" thickBot="1">
      <c r="A57" s="73" t="s">
        <v>1</v>
      </c>
      <c r="B57" s="67" t="s">
        <v>19</v>
      </c>
      <c r="C57" s="74" t="s">
        <v>30</v>
      </c>
      <c r="D57" s="67">
        <v>43</v>
      </c>
      <c r="E57" s="3" t="s">
        <v>12</v>
      </c>
      <c r="F57" s="4">
        <v>2149</v>
      </c>
      <c r="G57" s="4">
        <v>0</v>
      </c>
      <c r="H57" s="4">
        <f>SUM(F57:G57)</f>
        <v>2149</v>
      </c>
      <c r="I57" s="68">
        <v>0</v>
      </c>
      <c r="J57" s="72">
        <f>SUM(H57:I57)</f>
        <v>2149</v>
      </c>
      <c r="K57" s="293"/>
      <c r="L57" s="4">
        <v>0</v>
      </c>
      <c r="M57" s="4">
        <v>-6</v>
      </c>
      <c r="N57" s="72">
        <f>SUM(J57:M57)</f>
        <v>2143</v>
      </c>
      <c r="O57" s="4"/>
      <c r="P57" s="4">
        <f>SUM(F57)</f>
        <v>2149</v>
      </c>
      <c r="Q57" s="4">
        <f>SUM(J57)</f>
        <v>2149</v>
      </c>
      <c r="R57" s="4">
        <f>SUM(L57+M57)</f>
        <v>-6</v>
      </c>
      <c r="S57" s="4">
        <v>0</v>
      </c>
      <c r="T57" s="4">
        <v>0</v>
      </c>
      <c r="U57" s="4">
        <f>SUM(Q57:T57)</f>
        <v>2143</v>
      </c>
      <c r="V57" s="4">
        <v>0</v>
      </c>
      <c r="W57" s="4">
        <v>0</v>
      </c>
      <c r="X57" s="68">
        <v>0</v>
      </c>
      <c r="Y57" s="68">
        <v>0</v>
      </c>
      <c r="Z57" s="68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f>SUM(AY57-AX57)</f>
        <v>0</v>
      </c>
      <c r="AV57" s="232">
        <f>SUM(U57:AU57)</f>
        <v>2143</v>
      </c>
      <c r="AW57" s="278"/>
      <c r="AX57" s="271">
        <v>2143</v>
      </c>
      <c r="AY57" s="220">
        <v>2143</v>
      </c>
      <c r="AZ57" s="5">
        <f>SUM(AY57-AX57)</f>
        <v>0</v>
      </c>
      <c r="BA57" s="68"/>
      <c r="BB57" s="229"/>
      <c r="BC57" s="230"/>
      <c r="BD57" s="238"/>
      <c r="BE57" s="238"/>
    </row>
    <row r="58" spans="1:57" s="11" customFormat="1" ht="13.5" thickBot="1">
      <c r="A58" s="48"/>
      <c r="B58" s="295"/>
      <c r="C58" s="295"/>
      <c r="D58" s="295"/>
      <c r="E58" s="306" t="s">
        <v>126</v>
      </c>
      <c r="F58" s="297">
        <f>SUM(F57:F57)</f>
        <v>2149</v>
      </c>
      <c r="G58" s="297">
        <f>SUM(G57:G57)</f>
        <v>0</v>
      </c>
      <c r="H58" s="297">
        <f>SUM(H57:H57)</f>
        <v>2149</v>
      </c>
      <c r="I58" s="298">
        <f>SUM(I57:I57)</f>
        <v>0</v>
      </c>
      <c r="J58" s="299">
        <f>SUM(J57:J57)</f>
        <v>2149</v>
      </c>
      <c r="K58" s="300"/>
      <c r="L58" s="297">
        <f>SUM(L57:L57)</f>
        <v>0</v>
      </c>
      <c r="M58" s="297">
        <f>SUM(M57:M57)</f>
        <v>-6</v>
      </c>
      <c r="N58" s="299">
        <f>SUM(N57:N57)</f>
        <v>2143</v>
      </c>
      <c r="O58" s="297"/>
      <c r="P58" s="297">
        <f aca="true" t="shared" si="30" ref="P58:AV58">SUM(P57:P57)</f>
        <v>2149</v>
      </c>
      <c r="Q58" s="297">
        <f t="shared" si="30"/>
        <v>2149</v>
      </c>
      <c r="R58" s="297">
        <f t="shared" si="30"/>
        <v>-6</v>
      </c>
      <c r="S58" s="297">
        <f t="shared" si="30"/>
        <v>0</v>
      </c>
      <c r="T58" s="297">
        <f t="shared" si="30"/>
        <v>0</v>
      </c>
      <c r="U58" s="297">
        <f t="shared" si="30"/>
        <v>2143</v>
      </c>
      <c r="V58" s="297">
        <f t="shared" si="30"/>
        <v>0</v>
      </c>
      <c r="W58" s="297">
        <f t="shared" si="30"/>
        <v>0</v>
      </c>
      <c r="X58" s="298">
        <f t="shared" si="30"/>
        <v>0</v>
      </c>
      <c r="Y58" s="298">
        <f t="shared" si="30"/>
        <v>0</v>
      </c>
      <c r="Z58" s="298">
        <f t="shared" si="30"/>
        <v>0</v>
      </c>
      <c r="AA58" s="297">
        <f t="shared" si="30"/>
        <v>0</v>
      </c>
      <c r="AB58" s="297">
        <f t="shared" si="30"/>
        <v>0</v>
      </c>
      <c r="AC58" s="297">
        <f t="shared" si="30"/>
        <v>0</v>
      </c>
      <c r="AD58" s="297">
        <f t="shared" si="30"/>
        <v>0</v>
      </c>
      <c r="AE58" s="297">
        <f t="shared" si="30"/>
        <v>0</v>
      </c>
      <c r="AF58" s="297">
        <f t="shared" si="30"/>
        <v>0</v>
      </c>
      <c r="AG58" s="297">
        <f t="shared" si="30"/>
        <v>0</v>
      </c>
      <c r="AH58" s="297">
        <f t="shared" si="30"/>
        <v>0</v>
      </c>
      <c r="AI58" s="297">
        <f t="shared" si="30"/>
        <v>0</v>
      </c>
      <c r="AJ58" s="297">
        <f t="shared" si="30"/>
        <v>0</v>
      </c>
      <c r="AK58" s="297">
        <f t="shared" si="30"/>
        <v>0</v>
      </c>
      <c r="AL58" s="297">
        <f t="shared" si="30"/>
        <v>0</v>
      </c>
      <c r="AM58" s="297">
        <f t="shared" si="30"/>
        <v>0</v>
      </c>
      <c r="AN58" s="297">
        <f t="shared" si="30"/>
        <v>0</v>
      </c>
      <c r="AO58" s="297">
        <f t="shared" si="30"/>
        <v>0</v>
      </c>
      <c r="AP58" s="297">
        <f t="shared" si="30"/>
        <v>0</v>
      </c>
      <c r="AQ58" s="297">
        <f t="shared" si="30"/>
        <v>0</v>
      </c>
      <c r="AR58" s="297">
        <f t="shared" si="30"/>
        <v>0</v>
      </c>
      <c r="AS58" s="297">
        <f t="shared" si="30"/>
        <v>0</v>
      </c>
      <c r="AT58" s="297">
        <f t="shared" si="30"/>
        <v>0</v>
      </c>
      <c r="AU58" s="297">
        <f t="shared" si="30"/>
        <v>0</v>
      </c>
      <c r="AV58" s="301">
        <f t="shared" si="30"/>
        <v>2143</v>
      </c>
      <c r="AW58" s="302"/>
      <c r="AX58" s="303">
        <f>SUM(AX57:AX57)</f>
        <v>2143</v>
      </c>
      <c r="AY58" s="304">
        <f>SUM(AY57:AY57)</f>
        <v>2143</v>
      </c>
      <c r="AZ58" s="305">
        <f>SUM(AZ57:AZ57)</f>
        <v>0</v>
      </c>
      <c r="BA58" s="79"/>
      <c r="BB58" s="129"/>
      <c r="BC58" s="230"/>
      <c r="BD58" s="52"/>
      <c r="BE58" s="52"/>
    </row>
    <row r="59" spans="1:57" ht="12.75">
      <c r="A59" s="66"/>
      <c r="B59" s="67"/>
      <c r="C59" s="67"/>
      <c r="D59" s="67"/>
      <c r="E59" s="3"/>
      <c r="F59" s="4"/>
      <c r="G59" s="4"/>
      <c r="H59" s="4"/>
      <c r="I59" s="68"/>
      <c r="J59" s="72"/>
      <c r="K59" s="293"/>
      <c r="L59" s="4"/>
      <c r="M59" s="4"/>
      <c r="N59" s="72"/>
      <c r="O59" s="4"/>
      <c r="P59" s="4"/>
      <c r="Q59" s="4"/>
      <c r="R59" s="4"/>
      <c r="S59" s="4"/>
      <c r="T59" s="4"/>
      <c r="U59" s="4"/>
      <c r="V59" s="4"/>
      <c r="W59" s="4"/>
      <c r="X59" s="68"/>
      <c r="Y59" s="68"/>
      <c r="Z59" s="68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232"/>
      <c r="AW59" s="278"/>
      <c r="AX59" s="271"/>
      <c r="AY59" s="220"/>
      <c r="AZ59" s="5"/>
      <c r="BA59" s="68"/>
      <c r="BB59" s="229"/>
      <c r="BC59" s="230"/>
      <c r="BD59" s="238"/>
      <c r="BE59" s="238"/>
    </row>
    <row r="60" spans="1:57" ht="13.5" thickBot="1">
      <c r="A60" s="73" t="s">
        <v>1</v>
      </c>
      <c r="B60" s="67" t="s">
        <v>20</v>
      </c>
      <c r="C60" s="74" t="s">
        <v>30</v>
      </c>
      <c r="D60" s="67">
        <v>45</v>
      </c>
      <c r="E60" s="3" t="s">
        <v>12</v>
      </c>
      <c r="F60" s="4">
        <v>689</v>
      </c>
      <c r="G60" s="4">
        <v>0</v>
      </c>
      <c r="H60" s="4">
        <f>SUM(F60:G60)</f>
        <v>689</v>
      </c>
      <c r="I60" s="68">
        <v>0</v>
      </c>
      <c r="J60" s="72">
        <f>SUM(H60:I60)</f>
        <v>689</v>
      </c>
      <c r="K60" s="293"/>
      <c r="L60" s="4">
        <v>0</v>
      </c>
      <c r="M60" s="4">
        <v>-2</v>
      </c>
      <c r="N60" s="72">
        <f>SUM(J60:M60)</f>
        <v>687</v>
      </c>
      <c r="O60" s="4"/>
      <c r="P60" s="4">
        <f>SUM(F60)</f>
        <v>689</v>
      </c>
      <c r="Q60" s="4">
        <f>SUM(J60)</f>
        <v>689</v>
      </c>
      <c r="R60" s="4">
        <f>SUM(L60+M60)</f>
        <v>-2</v>
      </c>
      <c r="S60" s="4">
        <v>0</v>
      </c>
      <c r="T60" s="4">
        <v>0</v>
      </c>
      <c r="U60" s="4">
        <f>SUM(Q60:T60)</f>
        <v>687</v>
      </c>
      <c r="V60" s="4">
        <v>0</v>
      </c>
      <c r="W60" s="4">
        <v>0</v>
      </c>
      <c r="X60" s="68">
        <v>0</v>
      </c>
      <c r="Y60" s="68">
        <v>0</v>
      </c>
      <c r="Z60" s="68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f>SUM(AY60-AX60)</f>
        <v>0</v>
      </c>
      <c r="AV60" s="232">
        <f>SUM(U60:AU60)</f>
        <v>687</v>
      </c>
      <c r="AW60" s="278"/>
      <c r="AX60" s="271">
        <v>687</v>
      </c>
      <c r="AY60" s="220">
        <v>687</v>
      </c>
      <c r="AZ60" s="5">
        <f>SUM(AY60-AX60)</f>
        <v>0</v>
      </c>
      <c r="BA60" s="68"/>
      <c r="BB60" s="229"/>
      <c r="BC60" s="230"/>
      <c r="BD60" s="238"/>
      <c r="BE60" s="238"/>
    </row>
    <row r="61" spans="1:57" s="11" customFormat="1" ht="13.5" thickBot="1">
      <c r="A61" s="48"/>
      <c r="B61" s="295"/>
      <c r="C61" s="295"/>
      <c r="D61" s="295"/>
      <c r="E61" s="306" t="s">
        <v>127</v>
      </c>
      <c r="F61" s="297">
        <f>SUM(F60)</f>
        <v>689</v>
      </c>
      <c r="G61" s="297">
        <f>SUM(G60)</f>
        <v>0</v>
      </c>
      <c r="H61" s="297">
        <f>SUM(H60)</f>
        <v>689</v>
      </c>
      <c r="I61" s="298">
        <f>SUM(I60)</f>
        <v>0</v>
      </c>
      <c r="J61" s="299">
        <f>SUM(J60)</f>
        <v>689</v>
      </c>
      <c r="K61" s="300"/>
      <c r="L61" s="297">
        <f>SUM(L60)</f>
        <v>0</v>
      </c>
      <c r="M61" s="297">
        <f>SUM(M60)</f>
        <v>-2</v>
      </c>
      <c r="N61" s="299">
        <f>SUM(N60)</f>
        <v>687</v>
      </c>
      <c r="O61" s="297"/>
      <c r="P61" s="297">
        <f>SUM(F61)</f>
        <v>689</v>
      </c>
      <c r="Q61" s="297">
        <f>SUM(J61)</f>
        <v>689</v>
      </c>
      <c r="R61" s="297">
        <f>SUM(L61+M61)</f>
        <v>-2</v>
      </c>
      <c r="S61" s="297">
        <f>SUM(S60)</f>
        <v>0</v>
      </c>
      <c r="T61" s="297">
        <f>SUM(T60)</f>
        <v>0</v>
      </c>
      <c r="U61" s="297">
        <f>SUM(Q61:T61)</f>
        <v>687</v>
      </c>
      <c r="V61" s="297">
        <f>SUM(V60)</f>
        <v>0</v>
      </c>
      <c r="W61" s="297">
        <f>SUM(W60)</f>
        <v>0</v>
      </c>
      <c r="X61" s="298">
        <f>SUM(X59:X60)</f>
        <v>0</v>
      </c>
      <c r="Y61" s="298">
        <f>SUM(Y59:Y60)</f>
        <v>0</v>
      </c>
      <c r="Z61" s="298">
        <f>SUM(Z59:Z60)</f>
        <v>0</v>
      </c>
      <c r="AA61" s="297">
        <f aca="true" t="shared" si="31" ref="AA61:AF61">SUM(AA60)</f>
        <v>0</v>
      </c>
      <c r="AB61" s="297">
        <f t="shared" si="31"/>
        <v>0</v>
      </c>
      <c r="AC61" s="297">
        <f t="shared" si="31"/>
        <v>0</v>
      </c>
      <c r="AD61" s="297">
        <f t="shared" si="31"/>
        <v>0</v>
      </c>
      <c r="AE61" s="297">
        <f t="shared" si="31"/>
        <v>0</v>
      </c>
      <c r="AF61" s="297">
        <f t="shared" si="31"/>
        <v>0</v>
      </c>
      <c r="AG61" s="297">
        <f aca="true" t="shared" si="32" ref="AG61:AU61">SUM(AG60)</f>
        <v>0</v>
      </c>
      <c r="AH61" s="297">
        <f t="shared" si="32"/>
        <v>0</v>
      </c>
      <c r="AI61" s="297">
        <f t="shared" si="32"/>
        <v>0</v>
      </c>
      <c r="AJ61" s="297">
        <f t="shared" si="32"/>
        <v>0</v>
      </c>
      <c r="AK61" s="297">
        <f t="shared" si="32"/>
        <v>0</v>
      </c>
      <c r="AL61" s="297">
        <f t="shared" si="32"/>
        <v>0</v>
      </c>
      <c r="AM61" s="297">
        <f t="shared" si="32"/>
        <v>0</v>
      </c>
      <c r="AN61" s="297">
        <f t="shared" si="32"/>
        <v>0</v>
      </c>
      <c r="AO61" s="297">
        <f t="shared" si="32"/>
        <v>0</v>
      </c>
      <c r="AP61" s="297">
        <f t="shared" si="32"/>
        <v>0</v>
      </c>
      <c r="AQ61" s="297">
        <f t="shared" si="32"/>
        <v>0</v>
      </c>
      <c r="AR61" s="297">
        <f t="shared" si="32"/>
        <v>0</v>
      </c>
      <c r="AS61" s="297">
        <f t="shared" si="32"/>
        <v>0</v>
      </c>
      <c r="AT61" s="297">
        <f t="shared" si="32"/>
        <v>0</v>
      </c>
      <c r="AU61" s="297">
        <f t="shared" si="32"/>
        <v>0</v>
      </c>
      <c r="AV61" s="301">
        <f>SUM(AV60)</f>
        <v>687</v>
      </c>
      <c r="AW61" s="302"/>
      <c r="AX61" s="303">
        <f>SUM(AX60)</f>
        <v>687</v>
      </c>
      <c r="AY61" s="304">
        <f>SUM(AY60)</f>
        <v>687</v>
      </c>
      <c r="AZ61" s="305">
        <f>SUM(AZ60)</f>
        <v>0</v>
      </c>
      <c r="BA61" s="79"/>
      <c r="BB61" s="129"/>
      <c r="BC61" s="230"/>
      <c r="BD61" s="52"/>
      <c r="BE61" s="52"/>
    </row>
    <row r="62" spans="1:57" s="11" customFormat="1" ht="12.75">
      <c r="A62" s="76"/>
      <c r="B62" s="77"/>
      <c r="C62" s="77"/>
      <c r="D62" s="77"/>
      <c r="E62" s="80"/>
      <c r="F62" s="58"/>
      <c r="G62" s="58"/>
      <c r="H62" s="58"/>
      <c r="I62" s="79"/>
      <c r="J62" s="78"/>
      <c r="K62" s="56"/>
      <c r="L62" s="58"/>
      <c r="M62" s="58"/>
      <c r="N62" s="78"/>
      <c r="O62" s="58"/>
      <c r="P62" s="58"/>
      <c r="Q62" s="58"/>
      <c r="R62" s="58"/>
      <c r="S62" s="58"/>
      <c r="T62" s="58"/>
      <c r="U62" s="58"/>
      <c r="V62" s="58"/>
      <c r="W62" s="58"/>
      <c r="X62" s="79"/>
      <c r="Y62" s="79"/>
      <c r="Z62" s="79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233"/>
      <c r="AW62" s="280"/>
      <c r="AX62" s="273"/>
      <c r="AY62" s="221"/>
      <c r="AZ62" s="57"/>
      <c r="BA62" s="79"/>
      <c r="BB62" s="129"/>
      <c r="BC62" s="230"/>
      <c r="BD62" s="52"/>
      <c r="BE62" s="52"/>
    </row>
    <row r="63" spans="1:57" s="27" customFormat="1" ht="13.5" thickBot="1">
      <c r="A63" s="226" t="s">
        <v>1</v>
      </c>
      <c r="B63" s="91" t="s">
        <v>209</v>
      </c>
      <c r="C63" s="118" t="s">
        <v>30</v>
      </c>
      <c r="D63" s="118">
        <v>44</v>
      </c>
      <c r="E63" s="93" t="s">
        <v>12</v>
      </c>
      <c r="F63" s="4">
        <v>436</v>
      </c>
      <c r="G63" s="4">
        <v>0</v>
      </c>
      <c r="H63" s="4">
        <f>SUM(F63:G63)</f>
        <v>436</v>
      </c>
      <c r="I63" s="68">
        <v>0</v>
      </c>
      <c r="J63" s="72">
        <f>SUM(H63:I63)</f>
        <v>436</v>
      </c>
      <c r="K63" s="293"/>
      <c r="L63" s="4">
        <v>0</v>
      </c>
      <c r="M63" s="4">
        <v>-1</v>
      </c>
      <c r="N63" s="72">
        <f>SUM(J63:M63)</f>
        <v>435</v>
      </c>
      <c r="O63" s="4"/>
      <c r="P63" s="4">
        <f>SUM(F63)</f>
        <v>436</v>
      </c>
      <c r="Q63" s="4">
        <f>SUM(J63)</f>
        <v>436</v>
      </c>
      <c r="R63" s="4">
        <f>SUM(L63+M63)</f>
        <v>-1</v>
      </c>
      <c r="S63" s="4">
        <v>0</v>
      </c>
      <c r="T63" s="4">
        <v>0</v>
      </c>
      <c r="U63" s="4">
        <f>SUM(Q63:T63)</f>
        <v>435</v>
      </c>
      <c r="V63" s="4">
        <v>0</v>
      </c>
      <c r="W63" s="4">
        <v>0</v>
      </c>
      <c r="X63" s="68">
        <v>0</v>
      </c>
      <c r="Y63" s="68">
        <v>0</v>
      </c>
      <c r="Z63" s="68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f>SUM(AY63-AX63)</f>
        <v>0</v>
      </c>
      <c r="AV63" s="232">
        <f>SUM(U63:AU63)</f>
        <v>435</v>
      </c>
      <c r="AW63" s="278"/>
      <c r="AX63" s="271">
        <v>435</v>
      </c>
      <c r="AY63" s="220">
        <v>435</v>
      </c>
      <c r="AZ63" s="5">
        <f>SUM(AY63-AX63)</f>
        <v>0</v>
      </c>
      <c r="BA63" s="94"/>
      <c r="BB63" s="129"/>
      <c r="BC63" s="230"/>
      <c r="BD63" s="21"/>
      <c r="BE63" s="21"/>
    </row>
    <row r="64" spans="1:57" s="11" customFormat="1" ht="13.5" thickBot="1">
      <c r="A64" s="48"/>
      <c r="B64" s="295"/>
      <c r="C64" s="295"/>
      <c r="D64" s="295"/>
      <c r="E64" s="306" t="s">
        <v>210</v>
      </c>
      <c r="F64" s="297">
        <f>SUM(F63)</f>
        <v>436</v>
      </c>
      <c r="G64" s="297">
        <f>SUM(G63)</f>
        <v>0</v>
      </c>
      <c r="H64" s="297">
        <f>SUM(H63)</f>
        <v>436</v>
      </c>
      <c r="I64" s="298">
        <f>SUM(I63)</f>
        <v>0</v>
      </c>
      <c r="J64" s="299">
        <f>SUM(J63)</f>
        <v>436</v>
      </c>
      <c r="K64" s="300"/>
      <c r="L64" s="297">
        <f>SUM(L63)</f>
        <v>0</v>
      </c>
      <c r="M64" s="297">
        <f>SUM(M63)</f>
        <v>-1</v>
      </c>
      <c r="N64" s="299">
        <f>SUM(N63)</f>
        <v>435</v>
      </c>
      <c r="O64" s="297"/>
      <c r="P64" s="297">
        <f>SUM(F64)</f>
        <v>436</v>
      </c>
      <c r="Q64" s="297">
        <f>SUM(J64)</f>
        <v>436</v>
      </c>
      <c r="R64" s="297">
        <f>SUM(L64+M64)</f>
        <v>-1</v>
      </c>
      <c r="S64" s="297">
        <f>SUM(S63)</f>
        <v>0</v>
      </c>
      <c r="T64" s="297">
        <f>SUM(T63)</f>
        <v>0</v>
      </c>
      <c r="U64" s="297">
        <f>SUM(Q64:T64)</f>
        <v>435</v>
      </c>
      <c r="V64" s="297">
        <f>SUM(V63)</f>
        <v>0</v>
      </c>
      <c r="W64" s="297">
        <f>SUM(W63)</f>
        <v>0</v>
      </c>
      <c r="X64" s="298">
        <f>SUM(X62:X63)</f>
        <v>0</v>
      </c>
      <c r="Y64" s="298">
        <f>SUM(Y62:Y63)</f>
        <v>0</v>
      </c>
      <c r="Z64" s="298">
        <f>SUM(Z62:Z63)</f>
        <v>0</v>
      </c>
      <c r="AA64" s="297">
        <f aca="true" t="shared" si="33" ref="AA64:AV64">SUM(AA63)</f>
        <v>0</v>
      </c>
      <c r="AB64" s="297">
        <f t="shared" si="33"/>
        <v>0</v>
      </c>
      <c r="AC64" s="297">
        <f t="shared" si="33"/>
        <v>0</v>
      </c>
      <c r="AD64" s="297">
        <f t="shared" si="33"/>
        <v>0</v>
      </c>
      <c r="AE64" s="297">
        <f t="shared" si="33"/>
        <v>0</v>
      </c>
      <c r="AF64" s="297">
        <f t="shared" si="33"/>
        <v>0</v>
      </c>
      <c r="AG64" s="297">
        <f t="shared" si="33"/>
        <v>0</v>
      </c>
      <c r="AH64" s="297">
        <f t="shared" si="33"/>
        <v>0</v>
      </c>
      <c r="AI64" s="297">
        <f t="shared" si="33"/>
        <v>0</v>
      </c>
      <c r="AJ64" s="297">
        <f t="shared" si="33"/>
        <v>0</v>
      </c>
      <c r="AK64" s="297">
        <f t="shared" si="33"/>
        <v>0</v>
      </c>
      <c r="AL64" s="297">
        <f t="shared" si="33"/>
        <v>0</v>
      </c>
      <c r="AM64" s="297">
        <f t="shared" si="33"/>
        <v>0</v>
      </c>
      <c r="AN64" s="297">
        <f t="shared" si="33"/>
        <v>0</v>
      </c>
      <c r="AO64" s="297">
        <f t="shared" si="33"/>
        <v>0</v>
      </c>
      <c r="AP64" s="297">
        <f t="shared" si="33"/>
        <v>0</v>
      </c>
      <c r="AQ64" s="297">
        <f t="shared" si="33"/>
        <v>0</v>
      </c>
      <c r="AR64" s="297">
        <f t="shared" si="33"/>
        <v>0</v>
      </c>
      <c r="AS64" s="297">
        <f t="shared" si="33"/>
        <v>0</v>
      </c>
      <c r="AT64" s="297">
        <f t="shared" si="33"/>
        <v>0</v>
      </c>
      <c r="AU64" s="297">
        <f t="shared" si="33"/>
        <v>0</v>
      </c>
      <c r="AV64" s="301">
        <f t="shared" si="33"/>
        <v>435</v>
      </c>
      <c r="AW64" s="302"/>
      <c r="AX64" s="303">
        <f>SUM(AX63)</f>
        <v>435</v>
      </c>
      <c r="AY64" s="304">
        <f>SUM(AY63)</f>
        <v>435</v>
      </c>
      <c r="AZ64" s="305">
        <f>SUM(AZ63)</f>
        <v>0</v>
      </c>
      <c r="BA64" s="79"/>
      <c r="BB64" s="129"/>
      <c r="BC64" s="230"/>
      <c r="BD64" s="52"/>
      <c r="BE64" s="52"/>
    </row>
    <row r="65" spans="1:57" s="11" customFormat="1" ht="12.75">
      <c r="A65" s="76"/>
      <c r="B65" s="77"/>
      <c r="C65" s="77"/>
      <c r="D65" s="77"/>
      <c r="E65" s="80"/>
      <c r="F65" s="58"/>
      <c r="G65" s="58"/>
      <c r="H65" s="58"/>
      <c r="I65" s="79"/>
      <c r="J65" s="78"/>
      <c r="K65" s="56"/>
      <c r="L65" s="58"/>
      <c r="M65" s="58"/>
      <c r="N65" s="78"/>
      <c r="O65" s="58"/>
      <c r="P65" s="58"/>
      <c r="Q65" s="58"/>
      <c r="R65" s="58"/>
      <c r="S65" s="58"/>
      <c r="T65" s="58"/>
      <c r="U65" s="58"/>
      <c r="V65" s="58"/>
      <c r="W65" s="58"/>
      <c r="X65" s="79"/>
      <c r="Y65" s="79"/>
      <c r="Z65" s="79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233"/>
      <c r="AW65" s="280"/>
      <c r="AX65" s="273"/>
      <c r="AY65" s="221"/>
      <c r="AZ65" s="57"/>
      <c r="BA65" s="79"/>
      <c r="BB65" s="129"/>
      <c r="BC65" s="230"/>
      <c r="BD65" s="52"/>
      <c r="BE65" s="52"/>
    </row>
    <row r="66" spans="1:57" s="11" customFormat="1" ht="12.75">
      <c r="A66" s="73" t="s">
        <v>1</v>
      </c>
      <c r="B66" s="81">
        <v>1</v>
      </c>
      <c r="C66" s="82" t="s">
        <v>30</v>
      </c>
      <c r="D66" s="89" t="s">
        <v>216</v>
      </c>
      <c r="E66" s="90" t="s">
        <v>286</v>
      </c>
      <c r="F66" s="83">
        <v>268845</v>
      </c>
      <c r="G66" s="83">
        <v>0</v>
      </c>
      <c r="H66" s="83">
        <f aca="true" t="shared" si="34" ref="H66:H72">SUM(F66:G66)</f>
        <v>268845</v>
      </c>
      <c r="I66" s="83">
        <v>0</v>
      </c>
      <c r="J66" s="84">
        <f aca="true" t="shared" si="35" ref="J66:J72">SUM(H66:I66)</f>
        <v>268845</v>
      </c>
      <c r="K66" s="282"/>
      <c r="L66" s="85">
        <v>0</v>
      </c>
      <c r="M66" s="85">
        <v>-882</v>
      </c>
      <c r="N66" s="84">
        <f aca="true" t="shared" si="36" ref="N66:N72">SUM(J66:M66)</f>
        <v>267963</v>
      </c>
      <c r="O66" s="85"/>
      <c r="P66" s="85">
        <f aca="true" t="shared" si="37" ref="P66:P72">SUM(F66)</f>
        <v>268845</v>
      </c>
      <c r="Q66" s="85">
        <f aca="true" t="shared" si="38" ref="Q66:Q72">SUM(J66)</f>
        <v>268845</v>
      </c>
      <c r="R66" s="85">
        <f aca="true" t="shared" si="39" ref="R66:R72">SUM(L66+M66)</f>
        <v>-882</v>
      </c>
      <c r="S66" s="85">
        <v>0</v>
      </c>
      <c r="T66" s="85">
        <v>0</v>
      </c>
      <c r="U66" s="85">
        <f aca="true" t="shared" si="40" ref="U66:U72">SUM(Q66:T66)</f>
        <v>267963</v>
      </c>
      <c r="V66" s="83">
        <v>0</v>
      </c>
      <c r="W66" s="83">
        <v>0</v>
      </c>
      <c r="X66" s="83">
        <v>0</v>
      </c>
      <c r="Y66" s="349">
        <f>63059-63059+63059</f>
        <v>63059</v>
      </c>
      <c r="Z66" s="83">
        <v>0</v>
      </c>
      <c r="AA66" s="83">
        <v>0</v>
      </c>
      <c r="AB66" s="83">
        <v>0</v>
      </c>
      <c r="AC66" s="83">
        <v>0</v>
      </c>
      <c r="AD66" s="83">
        <v>0</v>
      </c>
      <c r="AE66" s="83">
        <v>0</v>
      </c>
      <c r="AF66" s="83">
        <v>-29911</v>
      </c>
      <c r="AG66" s="83">
        <v>0</v>
      </c>
      <c r="AH66" s="83">
        <v>0</v>
      </c>
      <c r="AI66" s="83">
        <v>0</v>
      </c>
      <c r="AJ66" s="83">
        <v>0</v>
      </c>
      <c r="AK66" s="83">
        <v>0</v>
      </c>
      <c r="AL66" s="83">
        <v>0</v>
      </c>
      <c r="AM66" s="83">
        <v>0</v>
      </c>
      <c r="AN66" s="83">
        <v>0</v>
      </c>
      <c r="AO66" s="83">
        <v>0</v>
      </c>
      <c r="AP66" s="83">
        <v>0</v>
      </c>
      <c r="AQ66" s="83">
        <v>0</v>
      </c>
      <c r="AR66" s="83">
        <v>0</v>
      </c>
      <c r="AS66" s="83">
        <v>0</v>
      </c>
      <c r="AT66" s="83">
        <v>0</v>
      </c>
      <c r="AU66" s="85">
        <f>SUM(AY66-AX66)+63059-63059</f>
        <v>0</v>
      </c>
      <c r="AV66" s="235">
        <f aca="true" t="shared" si="41" ref="AV66:AV72">SUM(U66:AU66)</f>
        <v>301111</v>
      </c>
      <c r="AW66" s="281"/>
      <c r="AX66" s="275">
        <f>267963+33148</f>
        <v>301111</v>
      </c>
      <c r="AY66" s="222">
        <f>267963-29911+63059</f>
        <v>301111</v>
      </c>
      <c r="AZ66" s="368">
        <f aca="true" t="shared" si="42" ref="AZ66:AZ72">SUM(AY66-AX66)</f>
        <v>0</v>
      </c>
      <c r="BA66" s="79"/>
      <c r="BB66" s="369"/>
      <c r="BC66" s="125"/>
      <c r="BD66" s="52"/>
      <c r="BE66" s="52"/>
    </row>
    <row r="67" spans="1:57" s="11" customFormat="1" ht="12.75">
      <c r="A67" s="73" t="s">
        <v>1</v>
      </c>
      <c r="B67" s="81">
        <v>1</v>
      </c>
      <c r="C67" s="82" t="s">
        <v>30</v>
      </c>
      <c r="D67" s="89" t="s">
        <v>131</v>
      </c>
      <c r="E67" s="90" t="s">
        <v>286</v>
      </c>
      <c r="F67" s="83">
        <v>55000</v>
      </c>
      <c r="G67" s="83">
        <v>-25000</v>
      </c>
      <c r="H67" s="83">
        <f t="shared" si="34"/>
        <v>30000</v>
      </c>
      <c r="I67" s="83">
        <v>0</v>
      </c>
      <c r="J67" s="84">
        <f t="shared" si="35"/>
        <v>30000</v>
      </c>
      <c r="K67" s="282"/>
      <c r="L67" s="85">
        <v>0</v>
      </c>
      <c r="M67" s="85">
        <v>0</v>
      </c>
      <c r="N67" s="84">
        <f t="shared" si="36"/>
        <v>30000</v>
      </c>
      <c r="O67" s="85"/>
      <c r="P67" s="85">
        <f t="shared" si="37"/>
        <v>55000</v>
      </c>
      <c r="Q67" s="85">
        <f t="shared" si="38"/>
        <v>30000</v>
      </c>
      <c r="R67" s="85">
        <f t="shared" si="39"/>
        <v>0</v>
      </c>
      <c r="S67" s="85">
        <v>0</v>
      </c>
      <c r="T67" s="85">
        <v>0</v>
      </c>
      <c r="U67" s="85">
        <f t="shared" si="40"/>
        <v>30000</v>
      </c>
      <c r="V67" s="83">
        <v>0</v>
      </c>
      <c r="W67" s="83">
        <v>0</v>
      </c>
      <c r="X67" s="83">
        <v>55160</v>
      </c>
      <c r="Y67" s="83">
        <v>0</v>
      </c>
      <c r="Z67" s="83">
        <v>0</v>
      </c>
      <c r="AA67" s="83">
        <v>0</v>
      </c>
      <c r="AB67" s="83">
        <v>0</v>
      </c>
      <c r="AC67" s="83">
        <v>0</v>
      </c>
      <c r="AD67" s="83">
        <v>0</v>
      </c>
      <c r="AE67" s="83">
        <v>0</v>
      </c>
      <c r="AF67" s="83">
        <v>0</v>
      </c>
      <c r="AG67" s="83">
        <v>0</v>
      </c>
      <c r="AH67" s="83">
        <v>0</v>
      </c>
      <c r="AI67" s="83">
        <v>0</v>
      </c>
      <c r="AJ67" s="83">
        <v>0</v>
      </c>
      <c r="AK67" s="83">
        <v>0</v>
      </c>
      <c r="AL67" s="83">
        <v>0</v>
      </c>
      <c r="AM67" s="83">
        <v>0</v>
      </c>
      <c r="AN67" s="83">
        <v>0</v>
      </c>
      <c r="AO67" s="83">
        <v>0</v>
      </c>
      <c r="AP67" s="83">
        <v>0</v>
      </c>
      <c r="AQ67" s="83">
        <v>0</v>
      </c>
      <c r="AR67" s="83">
        <v>0</v>
      </c>
      <c r="AS67" s="83">
        <v>0</v>
      </c>
      <c r="AT67" s="83">
        <v>0</v>
      </c>
      <c r="AU67" s="85">
        <f aca="true" t="shared" si="43" ref="AU67:AU72">SUM(AY67-AX67)</f>
        <v>0</v>
      </c>
      <c r="AV67" s="235">
        <f>SUM(U67:AU67)-1</f>
        <v>85159</v>
      </c>
      <c r="AW67" s="281"/>
      <c r="AX67" s="275">
        <f>85160-1</f>
        <v>85159</v>
      </c>
      <c r="AY67" s="222">
        <f>85160-1</f>
        <v>85159</v>
      </c>
      <c r="AZ67" s="86">
        <f t="shared" si="42"/>
        <v>0</v>
      </c>
      <c r="BA67" s="79"/>
      <c r="BB67" s="369"/>
      <c r="BC67" s="125"/>
      <c r="BD67" s="52"/>
      <c r="BE67" s="52"/>
    </row>
    <row r="68" spans="1:57" s="11" customFormat="1" ht="12.75">
      <c r="A68" s="73" t="s">
        <v>1</v>
      </c>
      <c r="B68" s="81">
        <v>1</v>
      </c>
      <c r="C68" s="82" t="s">
        <v>30</v>
      </c>
      <c r="D68" s="89" t="s">
        <v>253</v>
      </c>
      <c r="E68" s="90" t="s">
        <v>286</v>
      </c>
      <c r="F68" s="83">
        <v>0</v>
      </c>
      <c r="G68" s="83">
        <v>0</v>
      </c>
      <c r="H68" s="83">
        <v>0</v>
      </c>
      <c r="I68" s="83">
        <v>0</v>
      </c>
      <c r="J68" s="84">
        <v>0</v>
      </c>
      <c r="K68" s="282"/>
      <c r="L68" s="85">
        <v>0</v>
      </c>
      <c r="M68" s="85">
        <v>0</v>
      </c>
      <c r="N68" s="84">
        <f t="shared" si="36"/>
        <v>0</v>
      </c>
      <c r="O68" s="85"/>
      <c r="P68" s="85">
        <f t="shared" si="37"/>
        <v>0</v>
      </c>
      <c r="Q68" s="85">
        <f t="shared" si="38"/>
        <v>0</v>
      </c>
      <c r="R68" s="85">
        <f t="shared" si="39"/>
        <v>0</v>
      </c>
      <c r="S68" s="85">
        <v>0</v>
      </c>
      <c r="T68" s="85">
        <v>0</v>
      </c>
      <c r="U68" s="85">
        <f t="shared" si="40"/>
        <v>0</v>
      </c>
      <c r="V68" s="83">
        <v>0</v>
      </c>
      <c r="W68" s="83">
        <v>0</v>
      </c>
      <c r="X68" s="83">
        <v>0</v>
      </c>
      <c r="Y68" s="349">
        <f>103200-103200+103200</f>
        <v>103200</v>
      </c>
      <c r="Z68" s="83">
        <v>0</v>
      </c>
      <c r="AA68" s="83">
        <v>0</v>
      </c>
      <c r="AB68" s="83">
        <v>0</v>
      </c>
      <c r="AC68" s="83">
        <v>0</v>
      </c>
      <c r="AD68" s="83">
        <v>0</v>
      </c>
      <c r="AE68" s="83">
        <v>6400</v>
      </c>
      <c r="AF68" s="83">
        <v>0</v>
      </c>
      <c r="AG68" s="83">
        <v>0</v>
      </c>
      <c r="AH68" s="83">
        <v>0</v>
      </c>
      <c r="AI68" s="83">
        <v>0</v>
      </c>
      <c r="AJ68" s="83">
        <v>0</v>
      </c>
      <c r="AK68" s="83">
        <v>0</v>
      </c>
      <c r="AL68" s="83">
        <v>0</v>
      </c>
      <c r="AM68" s="83">
        <v>0</v>
      </c>
      <c r="AN68" s="83">
        <v>0</v>
      </c>
      <c r="AO68" s="83">
        <v>0</v>
      </c>
      <c r="AP68" s="83">
        <v>0</v>
      </c>
      <c r="AQ68" s="83">
        <v>0</v>
      </c>
      <c r="AR68" s="83">
        <v>0</v>
      </c>
      <c r="AS68" s="83">
        <v>0</v>
      </c>
      <c r="AT68" s="83">
        <v>0</v>
      </c>
      <c r="AU68" s="85">
        <f>SUM(AY68-AX68)+103200-103200</f>
        <v>0</v>
      </c>
      <c r="AV68" s="235">
        <f t="shared" si="41"/>
        <v>109600</v>
      </c>
      <c r="AW68" s="281"/>
      <c r="AX68" s="275">
        <f>6400+103200</f>
        <v>109600</v>
      </c>
      <c r="AY68" s="222">
        <f>0+6400+103200</f>
        <v>109600</v>
      </c>
      <c r="AZ68" s="86">
        <f t="shared" si="42"/>
        <v>0</v>
      </c>
      <c r="BA68" s="79"/>
      <c r="BB68" s="128"/>
      <c r="BC68" s="125"/>
      <c r="BD68" s="52"/>
      <c r="BE68" s="52"/>
    </row>
    <row r="69" spans="1:55" s="20" customFormat="1" ht="12.75">
      <c r="A69" s="73" t="s">
        <v>1</v>
      </c>
      <c r="B69" s="81">
        <v>1</v>
      </c>
      <c r="C69" s="82" t="s">
        <v>30</v>
      </c>
      <c r="D69" s="82" t="s">
        <v>128</v>
      </c>
      <c r="E69" s="90" t="s">
        <v>286</v>
      </c>
      <c r="F69" s="83">
        <v>6000</v>
      </c>
      <c r="G69" s="83">
        <v>0</v>
      </c>
      <c r="H69" s="83">
        <f t="shared" si="34"/>
        <v>6000</v>
      </c>
      <c r="I69" s="83">
        <v>0</v>
      </c>
      <c r="J69" s="84">
        <f t="shared" si="35"/>
        <v>6000</v>
      </c>
      <c r="K69" s="281"/>
      <c r="L69" s="83">
        <v>0</v>
      </c>
      <c r="M69" s="83">
        <v>-18</v>
      </c>
      <c r="N69" s="84">
        <f t="shared" si="36"/>
        <v>5982</v>
      </c>
      <c r="O69" s="83"/>
      <c r="P69" s="85">
        <f t="shared" si="37"/>
        <v>6000</v>
      </c>
      <c r="Q69" s="85">
        <f t="shared" si="38"/>
        <v>6000</v>
      </c>
      <c r="R69" s="85">
        <f t="shared" si="39"/>
        <v>-18</v>
      </c>
      <c r="S69" s="85">
        <v>0</v>
      </c>
      <c r="T69" s="85">
        <v>0</v>
      </c>
      <c r="U69" s="85">
        <f t="shared" si="40"/>
        <v>5982</v>
      </c>
      <c r="V69" s="83">
        <v>0</v>
      </c>
      <c r="W69" s="83">
        <v>0</v>
      </c>
      <c r="X69" s="83">
        <v>0</v>
      </c>
      <c r="Y69" s="83">
        <v>0</v>
      </c>
      <c r="Z69" s="83">
        <v>0</v>
      </c>
      <c r="AA69" s="83">
        <v>0</v>
      </c>
      <c r="AB69" s="83">
        <v>0</v>
      </c>
      <c r="AC69" s="83">
        <v>0</v>
      </c>
      <c r="AD69" s="83">
        <v>0</v>
      </c>
      <c r="AE69" s="83">
        <v>0</v>
      </c>
      <c r="AF69" s="83">
        <v>0</v>
      </c>
      <c r="AG69" s="83">
        <v>0</v>
      </c>
      <c r="AH69" s="83">
        <v>0</v>
      </c>
      <c r="AI69" s="83">
        <v>0</v>
      </c>
      <c r="AJ69" s="83">
        <v>0</v>
      </c>
      <c r="AK69" s="83">
        <v>0</v>
      </c>
      <c r="AL69" s="83">
        <v>0</v>
      </c>
      <c r="AM69" s="83">
        <v>0</v>
      </c>
      <c r="AN69" s="83">
        <v>0</v>
      </c>
      <c r="AO69" s="83">
        <v>0</v>
      </c>
      <c r="AP69" s="83">
        <v>0</v>
      </c>
      <c r="AQ69" s="83">
        <v>0</v>
      </c>
      <c r="AR69" s="83">
        <v>0</v>
      </c>
      <c r="AS69" s="83">
        <v>0</v>
      </c>
      <c r="AT69" s="83">
        <v>0</v>
      </c>
      <c r="AU69" s="85">
        <f t="shared" si="43"/>
        <v>0</v>
      </c>
      <c r="AV69" s="235">
        <f t="shared" si="41"/>
        <v>5982</v>
      </c>
      <c r="AW69" s="280"/>
      <c r="AX69" s="275">
        <v>5982</v>
      </c>
      <c r="AY69" s="222">
        <v>5982</v>
      </c>
      <c r="AZ69" s="86">
        <f t="shared" si="42"/>
        <v>0</v>
      </c>
      <c r="BA69" s="83"/>
      <c r="BB69" s="128"/>
      <c r="BC69" s="125"/>
    </row>
    <row r="70" spans="1:55" s="21" customFormat="1" ht="12.75">
      <c r="A70" s="73" t="s">
        <v>1</v>
      </c>
      <c r="B70" s="81">
        <v>1</v>
      </c>
      <c r="C70" s="92" t="s">
        <v>30</v>
      </c>
      <c r="D70" s="92" t="s">
        <v>216</v>
      </c>
      <c r="E70" s="90" t="s">
        <v>286</v>
      </c>
      <c r="F70" s="94">
        <v>4505</v>
      </c>
      <c r="G70" s="94">
        <v>0</v>
      </c>
      <c r="H70" s="26">
        <f t="shared" si="34"/>
        <v>4505</v>
      </c>
      <c r="I70" s="94">
        <v>0</v>
      </c>
      <c r="J70" s="95">
        <f t="shared" si="35"/>
        <v>4505</v>
      </c>
      <c r="K70" s="116"/>
      <c r="L70" s="94">
        <v>0</v>
      </c>
      <c r="M70" s="94">
        <v>-13</v>
      </c>
      <c r="N70" s="95">
        <f t="shared" si="36"/>
        <v>4492</v>
      </c>
      <c r="O70" s="94"/>
      <c r="P70" s="94">
        <f t="shared" si="37"/>
        <v>4505</v>
      </c>
      <c r="Q70" s="94">
        <f t="shared" si="38"/>
        <v>4505</v>
      </c>
      <c r="R70" s="4">
        <f t="shared" si="39"/>
        <v>-13</v>
      </c>
      <c r="S70" s="94">
        <v>0</v>
      </c>
      <c r="T70" s="94">
        <v>0</v>
      </c>
      <c r="U70" s="94">
        <f t="shared" si="40"/>
        <v>4492</v>
      </c>
      <c r="V70" s="94">
        <v>0</v>
      </c>
      <c r="W70" s="94">
        <v>0</v>
      </c>
      <c r="X70" s="94">
        <v>0</v>
      </c>
      <c r="Y70" s="94">
        <v>0</v>
      </c>
      <c r="Z70" s="94">
        <v>0</v>
      </c>
      <c r="AA70" s="94">
        <v>0</v>
      </c>
      <c r="AB70" s="94">
        <v>0</v>
      </c>
      <c r="AC70" s="94">
        <v>0</v>
      </c>
      <c r="AD70" s="94">
        <v>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4">
        <v>0</v>
      </c>
      <c r="AN70" s="94">
        <v>0</v>
      </c>
      <c r="AO70" s="94">
        <v>0</v>
      </c>
      <c r="AP70" s="94">
        <v>0</v>
      </c>
      <c r="AQ70" s="94">
        <v>0</v>
      </c>
      <c r="AR70" s="94">
        <v>0</v>
      </c>
      <c r="AS70" s="94">
        <v>0</v>
      </c>
      <c r="AT70" s="94">
        <v>0</v>
      </c>
      <c r="AU70" s="4">
        <f t="shared" si="43"/>
        <v>0</v>
      </c>
      <c r="AV70" s="236">
        <f t="shared" si="41"/>
        <v>4492</v>
      </c>
      <c r="AW70" s="278"/>
      <c r="AX70" s="272">
        <v>4492</v>
      </c>
      <c r="AY70" s="223">
        <f>4492</f>
        <v>4492</v>
      </c>
      <c r="AZ70" s="59">
        <f t="shared" si="42"/>
        <v>0</v>
      </c>
      <c r="BA70" s="94"/>
      <c r="BB70" s="129"/>
      <c r="BC70" s="230"/>
    </row>
    <row r="71" spans="1:57" s="14" customFormat="1" ht="12.75">
      <c r="A71" s="73" t="s">
        <v>1</v>
      </c>
      <c r="B71" s="81">
        <v>1</v>
      </c>
      <c r="C71" s="89" t="s">
        <v>30</v>
      </c>
      <c r="D71" s="89" t="s">
        <v>130</v>
      </c>
      <c r="E71" s="90" t="s">
        <v>286</v>
      </c>
      <c r="F71" s="83">
        <v>31600</v>
      </c>
      <c r="G71" s="85">
        <v>0</v>
      </c>
      <c r="H71" s="85">
        <f t="shared" si="34"/>
        <v>31600</v>
      </c>
      <c r="I71" s="83">
        <v>0</v>
      </c>
      <c r="J71" s="84">
        <f t="shared" si="35"/>
        <v>31600</v>
      </c>
      <c r="K71" s="282"/>
      <c r="L71" s="85">
        <v>0</v>
      </c>
      <c r="M71" s="85">
        <v>-94</v>
      </c>
      <c r="N71" s="84">
        <f t="shared" si="36"/>
        <v>31506</v>
      </c>
      <c r="O71" s="85"/>
      <c r="P71" s="85">
        <f t="shared" si="37"/>
        <v>31600</v>
      </c>
      <c r="Q71" s="85">
        <f t="shared" si="38"/>
        <v>31600</v>
      </c>
      <c r="R71" s="85">
        <f t="shared" si="39"/>
        <v>-94</v>
      </c>
      <c r="S71" s="85">
        <v>0</v>
      </c>
      <c r="T71" s="85">
        <v>0</v>
      </c>
      <c r="U71" s="85">
        <f t="shared" si="40"/>
        <v>31506</v>
      </c>
      <c r="V71" s="85">
        <v>0</v>
      </c>
      <c r="W71" s="85">
        <v>0</v>
      </c>
      <c r="X71" s="83">
        <v>0</v>
      </c>
      <c r="Y71" s="83">
        <v>0</v>
      </c>
      <c r="Z71" s="85">
        <v>0</v>
      </c>
      <c r="AA71" s="85">
        <v>0</v>
      </c>
      <c r="AB71" s="85">
        <v>0</v>
      </c>
      <c r="AC71" s="85">
        <v>0</v>
      </c>
      <c r="AD71" s="85">
        <v>0</v>
      </c>
      <c r="AE71" s="85">
        <v>0</v>
      </c>
      <c r="AF71" s="85">
        <v>0</v>
      </c>
      <c r="AG71" s="85">
        <v>0</v>
      </c>
      <c r="AH71" s="85">
        <v>0</v>
      </c>
      <c r="AI71" s="85">
        <v>0</v>
      </c>
      <c r="AJ71" s="85">
        <v>0</v>
      </c>
      <c r="AK71" s="85">
        <v>0</v>
      </c>
      <c r="AL71" s="85">
        <v>0</v>
      </c>
      <c r="AM71" s="85">
        <v>0</v>
      </c>
      <c r="AN71" s="85">
        <v>0</v>
      </c>
      <c r="AO71" s="85">
        <v>0</v>
      </c>
      <c r="AP71" s="85">
        <v>0</v>
      </c>
      <c r="AQ71" s="85">
        <v>0</v>
      </c>
      <c r="AR71" s="85">
        <v>0</v>
      </c>
      <c r="AS71" s="85">
        <v>0</v>
      </c>
      <c r="AT71" s="85">
        <v>0</v>
      </c>
      <c r="AU71" s="85">
        <f t="shared" si="43"/>
        <v>0</v>
      </c>
      <c r="AV71" s="235">
        <f t="shared" si="41"/>
        <v>31506</v>
      </c>
      <c r="AW71" s="280"/>
      <c r="AX71" s="275">
        <v>31506</v>
      </c>
      <c r="AY71" s="222">
        <v>31506</v>
      </c>
      <c r="AZ71" s="86">
        <f t="shared" si="42"/>
        <v>0</v>
      </c>
      <c r="BA71" s="83"/>
      <c r="BB71" s="128"/>
      <c r="BC71" s="125"/>
      <c r="BD71" s="20"/>
      <c r="BE71" s="20"/>
    </row>
    <row r="72" spans="1:57" s="14" customFormat="1" ht="13.5" thickBot="1">
      <c r="A72" s="73" t="s">
        <v>1</v>
      </c>
      <c r="B72" s="81">
        <v>1</v>
      </c>
      <c r="C72" s="89" t="s">
        <v>30</v>
      </c>
      <c r="D72" s="89" t="s">
        <v>183</v>
      </c>
      <c r="E72" s="90" t="s">
        <v>286</v>
      </c>
      <c r="F72" s="83">
        <v>13448</v>
      </c>
      <c r="G72" s="85">
        <v>0</v>
      </c>
      <c r="H72" s="85">
        <f t="shared" si="34"/>
        <v>13448</v>
      </c>
      <c r="I72" s="83">
        <v>0</v>
      </c>
      <c r="J72" s="84">
        <f t="shared" si="35"/>
        <v>13448</v>
      </c>
      <c r="K72" s="282"/>
      <c r="L72" s="85">
        <v>0</v>
      </c>
      <c r="M72" s="85">
        <v>-40</v>
      </c>
      <c r="N72" s="84">
        <f t="shared" si="36"/>
        <v>13408</v>
      </c>
      <c r="O72" s="85"/>
      <c r="P72" s="85">
        <f t="shared" si="37"/>
        <v>13448</v>
      </c>
      <c r="Q72" s="85">
        <f t="shared" si="38"/>
        <v>13448</v>
      </c>
      <c r="R72" s="85">
        <f t="shared" si="39"/>
        <v>-40</v>
      </c>
      <c r="S72" s="85">
        <v>0</v>
      </c>
      <c r="T72" s="85">
        <v>0</v>
      </c>
      <c r="U72" s="85">
        <f t="shared" si="40"/>
        <v>13408</v>
      </c>
      <c r="V72" s="85">
        <v>0</v>
      </c>
      <c r="W72" s="85">
        <v>0</v>
      </c>
      <c r="X72" s="83">
        <v>0</v>
      </c>
      <c r="Y72" s="83">
        <v>0</v>
      </c>
      <c r="Z72" s="85">
        <v>0</v>
      </c>
      <c r="AA72" s="85">
        <v>0</v>
      </c>
      <c r="AB72" s="85">
        <v>0</v>
      </c>
      <c r="AC72" s="85">
        <v>0</v>
      </c>
      <c r="AD72" s="85">
        <v>0</v>
      </c>
      <c r="AE72" s="85">
        <v>0</v>
      </c>
      <c r="AF72" s="85">
        <v>0</v>
      </c>
      <c r="AG72" s="85">
        <v>0</v>
      </c>
      <c r="AH72" s="85">
        <v>0</v>
      </c>
      <c r="AI72" s="85">
        <v>0</v>
      </c>
      <c r="AJ72" s="85">
        <v>0</v>
      </c>
      <c r="AK72" s="85">
        <v>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85">
        <v>0</v>
      </c>
      <c r="AS72" s="85">
        <v>0</v>
      </c>
      <c r="AT72" s="85">
        <v>0</v>
      </c>
      <c r="AU72" s="85">
        <f t="shared" si="43"/>
        <v>0</v>
      </c>
      <c r="AV72" s="235">
        <f t="shared" si="41"/>
        <v>13408</v>
      </c>
      <c r="AW72" s="280"/>
      <c r="AX72" s="275">
        <v>13408</v>
      </c>
      <c r="AY72" s="222">
        <v>13408</v>
      </c>
      <c r="AZ72" s="86">
        <f t="shared" si="42"/>
        <v>0</v>
      </c>
      <c r="BA72" s="83"/>
      <c r="BB72" s="128"/>
      <c r="BC72" s="125"/>
      <c r="BD72" s="20"/>
      <c r="BE72" s="20"/>
    </row>
    <row r="73" spans="1:57" s="14" customFormat="1" ht="13.5" thickBot="1">
      <c r="A73" s="308"/>
      <c r="B73" s="309"/>
      <c r="C73" s="309"/>
      <c r="D73" s="309"/>
      <c r="E73" s="310" t="s">
        <v>285</v>
      </c>
      <c r="F73" s="311">
        <f>SUM(F66:F72)</f>
        <v>379398</v>
      </c>
      <c r="G73" s="312">
        <f>SUM(G66:G72)</f>
        <v>-25000</v>
      </c>
      <c r="H73" s="312">
        <f>SUM(H66:H72)</f>
        <v>354398</v>
      </c>
      <c r="I73" s="311">
        <f>SUM(I66:I72)</f>
        <v>0</v>
      </c>
      <c r="J73" s="313">
        <f>SUM(J66:J72)</f>
        <v>354398</v>
      </c>
      <c r="K73" s="314"/>
      <c r="L73" s="312">
        <f>SUM(L66:L72)</f>
        <v>0</v>
      </c>
      <c r="M73" s="312">
        <f>SUM(M66:M72)</f>
        <v>-1047</v>
      </c>
      <c r="N73" s="313">
        <f>SUM(N66:N72)</f>
        <v>353351</v>
      </c>
      <c r="O73" s="312"/>
      <c r="P73" s="312">
        <f>SUM(P66:P72)</f>
        <v>379398</v>
      </c>
      <c r="Q73" s="312">
        <f aca="true" t="shared" si="44" ref="Q73:AZ73">SUM(Q66:Q72)</f>
        <v>354398</v>
      </c>
      <c r="R73" s="312">
        <f t="shared" si="44"/>
        <v>-1047</v>
      </c>
      <c r="S73" s="312">
        <f t="shared" si="44"/>
        <v>0</v>
      </c>
      <c r="T73" s="312">
        <f t="shared" si="44"/>
        <v>0</v>
      </c>
      <c r="U73" s="312">
        <f t="shared" si="44"/>
        <v>353351</v>
      </c>
      <c r="V73" s="312">
        <f t="shared" si="44"/>
        <v>0</v>
      </c>
      <c r="W73" s="312">
        <f t="shared" si="44"/>
        <v>0</v>
      </c>
      <c r="X73" s="311">
        <f t="shared" si="44"/>
        <v>55160</v>
      </c>
      <c r="Y73" s="311">
        <f>SUM(Y66:Y72)</f>
        <v>166259</v>
      </c>
      <c r="Z73" s="311">
        <f>SUM(Z66:Z72)</f>
        <v>0</v>
      </c>
      <c r="AA73" s="312">
        <f t="shared" si="44"/>
        <v>0</v>
      </c>
      <c r="AB73" s="312">
        <f t="shared" si="44"/>
        <v>0</v>
      </c>
      <c r="AC73" s="312">
        <f t="shared" si="44"/>
        <v>0</v>
      </c>
      <c r="AD73" s="312">
        <f t="shared" si="44"/>
        <v>0</v>
      </c>
      <c r="AE73" s="312">
        <f t="shared" si="44"/>
        <v>6400</v>
      </c>
      <c r="AF73" s="312">
        <f t="shared" si="44"/>
        <v>-29911</v>
      </c>
      <c r="AG73" s="312">
        <f t="shared" si="44"/>
        <v>0</v>
      </c>
      <c r="AH73" s="312">
        <f t="shared" si="44"/>
        <v>0</v>
      </c>
      <c r="AI73" s="312">
        <f t="shared" si="44"/>
        <v>0</v>
      </c>
      <c r="AJ73" s="312">
        <f t="shared" si="44"/>
        <v>0</v>
      </c>
      <c r="AK73" s="312">
        <f t="shared" si="44"/>
        <v>0</v>
      </c>
      <c r="AL73" s="312">
        <f t="shared" si="44"/>
        <v>0</v>
      </c>
      <c r="AM73" s="312">
        <f t="shared" si="44"/>
        <v>0</v>
      </c>
      <c r="AN73" s="312">
        <f t="shared" si="44"/>
        <v>0</v>
      </c>
      <c r="AO73" s="312">
        <f t="shared" si="44"/>
        <v>0</v>
      </c>
      <c r="AP73" s="312">
        <f t="shared" si="44"/>
        <v>0</v>
      </c>
      <c r="AQ73" s="312">
        <f t="shared" si="44"/>
        <v>0</v>
      </c>
      <c r="AR73" s="312">
        <f t="shared" si="44"/>
        <v>0</v>
      </c>
      <c r="AS73" s="312">
        <f t="shared" si="44"/>
        <v>0</v>
      </c>
      <c r="AT73" s="312">
        <f t="shared" si="44"/>
        <v>0</v>
      </c>
      <c r="AU73" s="312">
        <f t="shared" si="44"/>
        <v>0</v>
      </c>
      <c r="AV73" s="315">
        <f t="shared" si="44"/>
        <v>551258</v>
      </c>
      <c r="AW73" s="352"/>
      <c r="AX73" s="350">
        <f t="shared" si="44"/>
        <v>551258</v>
      </c>
      <c r="AY73" s="350">
        <f t="shared" si="44"/>
        <v>551258</v>
      </c>
      <c r="AZ73" s="316">
        <f t="shared" si="44"/>
        <v>0</v>
      </c>
      <c r="BA73" s="83"/>
      <c r="BB73" s="128"/>
      <c r="BC73" s="125"/>
      <c r="BD73" s="20"/>
      <c r="BE73" s="20"/>
    </row>
    <row r="74" spans="1:57" ht="12.75">
      <c r="A74" s="66"/>
      <c r="B74" s="67"/>
      <c r="C74" s="67"/>
      <c r="D74" s="67"/>
      <c r="E74" s="3"/>
      <c r="F74" s="4"/>
      <c r="G74" s="4"/>
      <c r="H74" s="4"/>
      <c r="I74" s="68"/>
      <c r="J74" s="72"/>
      <c r="K74" s="293"/>
      <c r="L74" s="4"/>
      <c r="M74" s="4"/>
      <c r="N74" s="72"/>
      <c r="O74" s="4"/>
      <c r="P74" s="4"/>
      <c r="Q74" s="4"/>
      <c r="R74" s="4"/>
      <c r="S74" s="4"/>
      <c r="T74" s="4"/>
      <c r="U74" s="4"/>
      <c r="V74" s="4"/>
      <c r="W74" s="4"/>
      <c r="X74" s="68"/>
      <c r="Y74" s="68"/>
      <c r="Z74" s="68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232"/>
      <c r="AW74" s="278"/>
      <c r="AX74" s="271"/>
      <c r="AY74" s="220"/>
      <c r="AZ74" s="5"/>
      <c r="BA74" s="68"/>
      <c r="BB74" s="229"/>
      <c r="BC74" s="230"/>
      <c r="BD74" s="238"/>
      <c r="BE74" s="238"/>
    </row>
    <row r="75" spans="1:57" s="14" customFormat="1" ht="12.75">
      <c r="A75" s="73" t="s">
        <v>1</v>
      </c>
      <c r="B75" s="88">
        <v>2</v>
      </c>
      <c r="C75" s="89" t="s">
        <v>30</v>
      </c>
      <c r="D75" s="89">
        <v>31</v>
      </c>
      <c r="E75" s="90" t="s">
        <v>286</v>
      </c>
      <c r="F75" s="85">
        <v>23517</v>
      </c>
      <c r="G75" s="85">
        <v>0</v>
      </c>
      <c r="H75" s="85">
        <f aca="true" t="shared" si="45" ref="H75:H83">SUM(F75:G75)</f>
        <v>23517</v>
      </c>
      <c r="I75" s="83">
        <v>0</v>
      </c>
      <c r="J75" s="84">
        <f aca="true" t="shared" si="46" ref="J75:J84">SUM(H75:I75)</f>
        <v>23517</v>
      </c>
      <c r="K75" s="282"/>
      <c r="L75" s="85">
        <v>0</v>
      </c>
      <c r="M75" s="85">
        <v>-69</v>
      </c>
      <c r="N75" s="84">
        <f aca="true" t="shared" si="47" ref="N75:N84">SUM(J75:M75)</f>
        <v>23448</v>
      </c>
      <c r="O75" s="85"/>
      <c r="P75" s="85">
        <f aca="true" t="shared" si="48" ref="P75:P84">SUM(F75)</f>
        <v>23517</v>
      </c>
      <c r="Q75" s="85">
        <f aca="true" t="shared" si="49" ref="Q75:Q83">SUM(J75)</f>
        <v>23517</v>
      </c>
      <c r="R75" s="85">
        <f aca="true" t="shared" si="50" ref="R75:R84">SUM(L75+M75)</f>
        <v>-69</v>
      </c>
      <c r="S75" s="85">
        <v>0</v>
      </c>
      <c r="T75" s="85">
        <v>0</v>
      </c>
      <c r="U75" s="85">
        <f aca="true" t="shared" si="51" ref="U75:U84">SUM(Q75:T75)</f>
        <v>23448</v>
      </c>
      <c r="V75" s="85">
        <v>0</v>
      </c>
      <c r="W75" s="85">
        <v>0</v>
      </c>
      <c r="X75" s="83">
        <v>5194</v>
      </c>
      <c r="Y75" s="83">
        <f>14445-14445+14445</f>
        <v>14445</v>
      </c>
      <c r="Z75" s="83">
        <v>0</v>
      </c>
      <c r="AA75" s="85">
        <v>0</v>
      </c>
      <c r="AB75" s="85">
        <v>0</v>
      </c>
      <c r="AC75" s="85">
        <v>0</v>
      </c>
      <c r="AD75" s="85">
        <v>0</v>
      </c>
      <c r="AE75" s="85">
        <v>0</v>
      </c>
      <c r="AF75" s="85">
        <v>0</v>
      </c>
      <c r="AG75" s="85">
        <v>0</v>
      </c>
      <c r="AH75" s="85">
        <v>0</v>
      </c>
      <c r="AI75" s="85">
        <v>0</v>
      </c>
      <c r="AJ75" s="85">
        <v>0</v>
      </c>
      <c r="AK75" s="85">
        <v>0</v>
      </c>
      <c r="AL75" s="85">
        <v>0</v>
      </c>
      <c r="AM75" s="85">
        <v>0</v>
      </c>
      <c r="AN75" s="85">
        <v>0</v>
      </c>
      <c r="AO75" s="85">
        <v>0</v>
      </c>
      <c r="AP75" s="85">
        <v>0</v>
      </c>
      <c r="AQ75" s="85">
        <v>0</v>
      </c>
      <c r="AR75" s="85">
        <v>0</v>
      </c>
      <c r="AS75" s="85">
        <v>0</v>
      </c>
      <c r="AT75" s="85">
        <v>0</v>
      </c>
      <c r="AU75" s="85">
        <f>SUM(AY75-AX75)+14445-14445</f>
        <v>0</v>
      </c>
      <c r="AV75" s="235">
        <f aca="true" t="shared" si="52" ref="AV75:AV84">SUM(U75:AU75)</f>
        <v>43087</v>
      </c>
      <c r="AW75" s="280"/>
      <c r="AX75" s="275">
        <f>28642+14445</f>
        <v>43087</v>
      </c>
      <c r="AY75" s="222">
        <f>28642+14445</f>
        <v>43087</v>
      </c>
      <c r="AZ75" s="114">
        <f aca="true" t="shared" si="53" ref="AZ75:AZ84">SUM(AY75-AX75)</f>
        <v>0</v>
      </c>
      <c r="BA75" s="83"/>
      <c r="BB75" s="128"/>
      <c r="BC75" s="125"/>
      <c r="BD75" s="20"/>
      <c r="BE75" s="20"/>
    </row>
    <row r="76" spans="1:57" s="14" customFormat="1" ht="12.75">
      <c r="A76" s="73" t="s">
        <v>1</v>
      </c>
      <c r="B76" s="88">
        <v>2</v>
      </c>
      <c r="C76" s="89" t="s">
        <v>30</v>
      </c>
      <c r="D76" s="88">
        <v>31</v>
      </c>
      <c r="E76" s="90" t="s">
        <v>286</v>
      </c>
      <c r="F76" s="85">
        <v>0</v>
      </c>
      <c r="G76" s="85">
        <v>0</v>
      </c>
      <c r="H76" s="85">
        <f t="shared" si="45"/>
        <v>0</v>
      </c>
      <c r="I76" s="83">
        <f>SUM('FY 09-11 DD 1416 Tracker-Total'!I129)</f>
        <v>0</v>
      </c>
      <c r="J76" s="84">
        <f t="shared" si="46"/>
        <v>0</v>
      </c>
      <c r="K76" s="282"/>
      <c r="L76" s="85">
        <v>0</v>
      </c>
      <c r="M76" s="85">
        <v>0</v>
      </c>
      <c r="N76" s="84">
        <f t="shared" si="47"/>
        <v>0</v>
      </c>
      <c r="O76" s="85"/>
      <c r="P76" s="85">
        <f t="shared" si="48"/>
        <v>0</v>
      </c>
      <c r="Q76" s="85">
        <f t="shared" si="49"/>
        <v>0</v>
      </c>
      <c r="R76" s="85">
        <f t="shared" si="50"/>
        <v>0</v>
      </c>
      <c r="S76" s="85">
        <v>0</v>
      </c>
      <c r="T76" s="85">
        <v>0</v>
      </c>
      <c r="U76" s="85">
        <f t="shared" si="51"/>
        <v>0</v>
      </c>
      <c r="V76" s="85">
        <v>0</v>
      </c>
      <c r="W76" s="85">
        <v>0</v>
      </c>
      <c r="X76" s="83">
        <v>0</v>
      </c>
      <c r="Y76" s="83">
        <v>0</v>
      </c>
      <c r="Z76" s="83">
        <v>0</v>
      </c>
      <c r="AA76" s="85">
        <v>0</v>
      </c>
      <c r="AB76" s="85">
        <v>0</v>
      </c>
      <c r="AC76" s="85">
        <v>0</v>
      </c>
      <c r="AD76" s="85">
        <v>0</v>
      </c>
      <c r="AE76" s="85">
        <v>0</v>
      </c>
      <c r="AF76" s="85">
        <v>0</v>
      </c>
      <c r="AG76" s="85">
        <v>0</v>
      </c>
      <c r="AH76" s="85">
        <v>0</v>
      </c>
      <c r="AI76" s="85">
        <v>0</v>
      </c>
      <c r="AJ76" s="85">
        <v>0</v>
      </c>
      <c r="AK76" s="85">
        <v>0</v>
      </c>
      <c r="AL76" s="85">
        <v>0</v>
      </c>
      <c r="AM76" s="85">
        <v>0</v>
      </c>
      <c r="AN76" s="85">
        <v>0</v>
      </c>
      <c r="AO76" s="85">
        <v>0</v>
      </c>
      <c r="AP76" s="85">
        <v>0</v>
      </c>
      <c r="AQ76" s="85">
        <v>0</v>
      </c>
      <c r="AR76" s="85">
        <v>0</v>
      </c>
      <c r="AS76" s="85">
        <v>0</v>
      </c>
      <c r="AT76" s="85">
        <v>0</v>
      </c>
      <c r="AU76" s="85">
        <f aca="true" t="shared" si="54" ref="AU76:AU83">SUM(AY76-AX76)</f>
        <v>0</v>
      </c>
      <c r="AV76" s="235">
        <f t="shared" si="52"/>
        <v>0</v>
      </c>
      <c r="AW76" s="280"/>
      <c r="AX76" s="275">
        <v>0</v>
      </c>
      <c r="AY76" s="222">
        <v>0</v>
      </c>
      <c r="AZ76" s="114">
        <f t="shared" si="53"/>
        <v>0</v>
      </c>
      <c r="BA76" s="83"/>
      <c r="BB76" s="128"/>
      <c r="BC76" s="125"/>
      <c r="BD76" s="20"/>
      <c r="BE76" s="20"/>
    </row>
    <row r="77" spans="1:57" s="14" customFormat="1" ht="12.75">
      <c r="A77" s="73" t="s">
        <v>1</v>
      </c>
      <c r="B77" s="88">
        <v>2</v>
      </c>
      <c r="C77" s="89" t="s">
        <v>30</v>
      </c>
      <c r="D77" s="88">
        <v>31</v>
      </c>
      <c r="E77" s="90" t="s">
        <v>286</v>
      </c>
      <c r="F77" s="85">
        <v>0</v>
      </c>
      <c r="G77" s="85">
        <v>0</v>
      </c>
      <c r="H77" s="85">
        <v>0</v>
      </c>
      <c r="I77" s="83">
        <v>0</v>
      </c>
      <c r="J77" s="84">
        <v>0</v>
      </c>
      <c r="K77" s="282"/>
      <c r="L77" s="85">
        <v>0</v>
      </c>
      <c r="M77" s="85">
        <v>0</v>
      </c>
      <c r="N77" s="84">
        <f t="shared" si="47"/>
        <v>0</v>
      </c>
      <c r="O77" s="85"/>
      <c r="P77" s="85">
        <f t="shared" si="48"/>
        <v>0</v>
      </c>
      <c r="Q77" s="85">
        <f t="shared" si="49"/>
        <v>0</v>
      </c>
      <c r="R77" s="85">
        <f t="shared" si="50"/>
        <v>0</v>
      </c>
      <c r="S77" s="85">
        <v>0</v>
      </c>
      <c r="T77" s="85">
        <v>0</v>
      </c>
      <c r="U77" s="85">
        <f t="shared" si="51"/>
        <v>0</v>
      </c>
      <c r="V77" s="85">
        <v>0</v>
      </c>
      <c r="W77" s="85">
        <v>0</v>
      </c>
      <c r="X77" s="83">
        <v>0</v>
      </c>
      <c r="Y77" s="83">
        <v>1000</v>
      </c>
      <c r="Z77" s="83">
        <v>0</v>
      </c>
      <c r="AA77" s="85">
        <v>0</v>
      </c>
      <c r="AB77" s="85">
        <v>0</v>
      </c>
      <c r="AC77" s="85">
        <v>300</v>
      </c>
      <c r="AD77" s="85">
        <v>0</v>
      </c>
      <c r="AE77" s="85">
        <v>25000</v>
      </c>
      <c r="AF77" s="85">
        <v>0</v>
      </c>
      <c r="AG77" s="85">
        <v>0</v>
      </c>
      <c r="AH77" s="85">
        <v>0</v>
      </c>
      <c r="AI77" s="85">
        <v>0</v>
      </c>
      <c r="AJ77" s="85">
        <v>0</v>
      </c>
      <c r="AK77" s="85">
        <v>0</v>
      </c>
      <c r="AL77" s="85">
        <v>0</v>
      </c>
      <c r="AM77" s="85">
        <v>0</v>
      </c>
      <c r="AN77" s="85">
        <v>0</v>
      </c>
      <c r="AO77" s="85">
        <v>13000</v>
      </c>
      <c r="AP77" s="85">
        <v>0</v>
      </c>
      <c r="AQ77" s="85">
        <v>0</v>
      </c>
      <c r="AR77" s="85">
        <v>0</v>
      </c>
      <c r="AS77" s="85">
        <v>0</v>
      </c>
      <c r="AT77" s="85">
        <v>0</v>
      </c>
      <c r="AU77" s="85">
        <f>SUM(AY77-AX77)+1000-1000</f>
        <v>0</v>
      </c>
      <c r="AV77" s="235">
        <f t="shared" si="52"/>
        <v>39300</v>
      </c>
      <c r="AW77" s="280"/>
      <c r="AX77" s="275">
        <f>25300+1000+13000</f>
        <v>39300</v>
      </c>
      <c r="AY77" s="222">
        <f>300+25000+1000+13000</f>
        <v>39300</v>
      </c>
      <c r="AZ77" s="114">
        <f t="shared" si="53"/>
        <v>0</v>
      </c>
      <c r="BA77" s="83"/>
      <c r="BB77" s="128"/>
      <c r="BC77" s="125"/>
      <c r="BD77" s="20"/>
      <c r="BE77" s="20"/>
    </row>
    <row r="78" spans="1:57" s="14" customFormat="1" ht="12.75">
      <c r="A78" s="73" t="s">
        <v>1</v>
      </c>
      <c r="B78" s="88">
        <v>2</v>
      </c>
      <c r="C78" s="89" t="s">
        <v>30</v>
      </c>
      <c r="D78" s="88">
        <v>31</v>
      </c>
      <c r="E78" s="90" t="s">
        <v>286</v>
      </c>
      <c r="F78" s="85">
        <v>467</v>
      </c>
      <c r="G78" s="85">
        <v>0</v>
      </c>
      <c r="H78" s="85">
        <f t="shared" si="45"/>
        <v>467</v>
      </c>
      <c r="I78" s="83">
        <v>0</v>
      </c>
      <c r="J78" s="84">
        <f t="shared" si="46"/>
        <v>467</v>
      </c>
      <c r="K78" s="282"/>
      <c r="L78" s="85">
        <v>0</v>
      </c>
      <c r="M78" s="85">
        <v>-1</v>
      </c>
      <c r="N78" s="84">
        <f t="shared" si="47"/>
        <v>466</v>
      </c>
      <c r="O78" s="85"/>
      <c r="P78" s="85">
        <f t="shared" si="48"/>
        <v>467</v>
      </c>
      <c r="Q78" s="85">
        <f t="shared" si="49"/>
        <v>467</v>
      </c>
      <c r="R78" s="85">
        <f t="shared" si="50"/>
        <v>-1</v>
      </c>
      <c r="S78" s="85">
        <v>0</v>
      </c>
      <c r="T78" s="85">
        <v>0</v>
      </c>
      <c r="U78" s="85">
        <f t="shared" si="51"/>
        <v>466</v>
      </c>
      <c r="V78" s="85">
        <v>0</v>
      </c>
      <c r="W78" s="85">
        <v>0</v>
      </c>
      <c r="X78" s="83">
        <v>0</v>
      </c>
      <c r="Y78" s="83">
        <v>0</v>
      </c>
      <c r="Z78" s="83">
        <v>0</v>
      </c>
      <c r="AA78" s="85">
        <v>0</v>
      </c>
      <c r="AB78" s="85">
        <v>0</v>
      </c>
      <c r="AC78" s="85">
        <v>0</v>
      </c>
      <c r="AD78" s="85">
        <v>0</v>
      </c>
      <c r="AE78" s="85">
        <v>0</v>
      </c>
      <c r="AF78" s="85">
        <v>0</v>
      </c>
      <c r="AG78" s="85">
        <v>0</v>
      </c>
      <c r="AH78" s="85">
        <v>0</v>
      </c>
      <c r="AI78" s="85">
        <v>0</v>
      </c>
      <c r="AJ78" s="85">
        <v>0</v>
      </c>
      <c r="AK78" s="85">
        <v>0</v>
      </c>
      <c r="AL78" s="85">
        <v>0</v>
      </c>
      <c r="AM78" s="85">
        <v>0</v>
      </c>
      <c r="AN78" s="85">
        <v>0</v>
      </c>
      <c r="AO78" s="85">
        <v>0</v>
      </c>
      <c r="AP78" s="85">
        <v>0</v>
      </c>
      <c r="AQ78" s="85">
        <v>0</v>
      </c>
      <c r="AR78" s="85">
        <v>0</v>
      </c>
      <c r="AS78" s="85">
        <v>0</v>
      </c>
      <c r="AT78" s="85">
        <v>0</v>
      </c>
      <c r="AU78" s="85">
        <f t="shared" si="54"/>
        <v>0</v>
      </c>
      <c r="AV78" s="235">
        <f t="shared" si="52"/>
        <v>466</v>
      </c>
      <c r="AW78" s="280"/>
      <c r="AX78" s="275">
        <v>466</v>
      </c>
      <c r="AY78" s="222">
        <v>466</v>
      </c>
      <c r="AZ78" s="114">
        <f t="shared" si="53"/>
        <v>0</v>
      </c>
      <c r="BA78" s="83"/>
      <c r="BB78" s="128"/>
      <c r="BC78" s="125"/>
      <c r="BD78" s="20"/>
      <c r="BE78" s="20"/>
    </row>
    <row r="79" spans="1:57" s="14" customFormat="1" ht="12.75">
      <c r="A79" s="73" t="s">
        <v>1</v>
      </c>
      <c r="B79" s="88">
        <v>2</v>
      </c>
      <c r="C79" s="89" t="s">
        <v>30</v>
      </c>
      <c r="D79" s="88">
        <v>31</v>
      </c>
      <c r="E79" s="90" t="s">
        <v>286</v>
      </c>
      <c r="F79" s="85">
        <v>775</v>
      </c>
      <c r="G79" s="85">
        <v>0</v>
      </c>
      <c r="H79" s="85">
        <f t="shared" si="45"/>
        <v>775</v>
      </c>
      <c r="I79" s="83">
        <v>0</v>
      </c>
      <c r="J79" s="84">
        <f t="shared" si="46"/>
        <v>775</v>
      </c>
      <c r="K79" s="282"/>
      <c r="L79" s="85">
        <v>0</v>
      </c>
      <c r="M79" s="85">
        <v>-2</v>
      </c>
      <c r="N79" s="84">
        <f t="shared" si="47"/>
        <v>773</v>
      </c>
      <c r="O79" s="85"/>
      <c r="P79" s="85">
        <f t="shared" si="48"/>
        <v>775</v>
      </c>
      <c r="Q79" s="85">
        <f t="shared" si="49"/>
        <v>775</v>
      </c>
      <c r="R79" s="85">
        <f t="shared" si="50"/>
        <v>-2</v>
      </c>
      <c r="S79" s="85">
        <v>0</v>
      </c>
      <c r="T79" s="85">
        <v>0</v>
      </c>
      <c r="U79" s="85">
        <f t="shared" si="51"/>
        <v>773</v>
      </c>
      <c r="V79" s="85">
        <v>0</v>
      </c>
      <c r="W79" s="85">
        <v>0</v>
      </c>
      <c r="X79" s="83">
        <v>0</v>
      </c>
      <c r="Y79" s="83">
        <v>0</v>
      </c>
      <c r="Z79" s="83">
        <v>0</v>
      </c>
      <c r="AA79" s="85">
        <v>0</v>
      </c>
      <c r="AB79" s="85">
        <v>0</v>
      </c>
      <c r="AC79" s="85">
        <v>0</v>
      </c>
      <c r="AD79" s="85">
        <v>0</v>
      </c>
      <c r="AE79" s="85">
        <v>0</v>
      </c>
      <c r="AF79" s="85">
        <v>0</v>
      </c>
      <c r="AG79" s="85">
        <v>0</v>
      </c>
      <c r="AH79" s="85">
        <v>0</v>
      </c>
      <c r="AI79" s="85">
        <v>0</v>
      </c>
      <c r="AJ79" s="85">
        <v>0</v>
      </c>
      <c r="AK79" s="85">
        <v>0</v>
      </c>
      <c r="AL79" s="85">
        <v>0</v>
      </c>
      <c r="AM79" s="85">
        <v>0</v>
      </c>
      <c r="AN79" s="85">
        <v>0</v>
      </c>
      <c r="AO79" s="85">
        <v>0</v>
      </c>
      <c r="AP79" s="85">
        <v>0</v>
      </c>
      <c r="AQ79" s="85">
        <v>0</v>
      </c>
      <c r="AR79" s="85">
        <v>0</v>
      </c>
      <c r="AS79" s="85">
        <v>0</v>
      </c>
      <c r="AT79" s="85">
        <v>0</v>
      </c>
      <c r="AU79" s="85">
        <f t="shared" si="54"/>
        <v>0</v>
      </c>
      <c r="AV79" s="235">
        <f t="shared" si="52"/>
        <v>773</v>
      </c>
      <c r="AW79" s="280"/>
      <c r="AX79" s="275">
        <v>773</v>
      </c>
      <c r="AY79" s="222">
        <v>773</v>
      </c>
      <c r="AZ79" s="114">
        <f t="shared" si="53"/>
        <v>0</v>
      </c>
      <c r="BA79" s="83"/>
      <c r="BB79" s="128"/>
      <c r="BC79" s="125"/>
      <c r="BD79" s="20"/>
      <c r="BE79" s="20"/>
    </row>
    <row r="80" spans="1:57" s="14" customFormat="1" ht="12.75">
      <c r="A80" s="73" t="s">
        <v>1</v>
      </c>
      <c r="B80" s="88">
        <v>2</v>
      </c>
      <c r="C80" s="89" t="s">
        <v>30</v>
      </c>
      <c r="D80" s="88">
        <v>31</v>
      </c>
      <c r="E80" s="90" t="s">
        <v>286</v>
      </c>
      <c r="F80" s="85">
        <v>3779</v>
      </c>
      <c r="G80" s="85">
        <v>0</v>
      </c>
      <c r="H80" s="85">
        <f t="shared" si="45"/>
        <v>3779</v>
      </c>
      <c r="I80" s="83">
        <v>0</v>
      </c>
      <c r="J80" s="84">
        <f t="shared" si="46"/>
        <v>3779</v>
      </c>
      <c r="K80" s="282"/>
      <c r="L80" s="85">
        <v>0</v>
      </c>
      <c r="M80" s="85">
        <v>-11</v>
      </c>
      <c r="N80" s="84">
        <f t="shared" si="47"/>
        <v>3768</v>
      </c>
      <c r="O80" s="85"/>
      <c r="P80" s="85">
        <f t="shared" si="48"/>
        <v>3779</v>
      </c>
      <c r="Q80" s="85">
        <f t="shared" si="49"/>
        <v>3779</v>
      </c>
      <c r="R80" s="85">
        <f t="shared" si="50"/>
        <v>-11</v>
      </c>
      <c r="S80" s="85">
        <v>0</v>
      </c>
      <c r="T80" s="85">
        <v>0</v>
      </c>
      <c r="U80" s="85">
        <f t="shared" si="51"/>
        <v>3768</v>
      </c>
      <c r="V80" s="85">
        <v>0</v>
      </c>
      <c r="W80" s="85">
        <v>0</v>
      </c>
      <c r="X80" s="83">
        <v>0</v>
      </c>
      <c r="Y80" s="83">
        <v>0</v>
      </c>
      <c r="Z80" s="83">
        <v>0</v>
      </c>
      <c r="AA80" s="85">
        <v>0</v>
      </c>
      <c r="AB80" s="85">
        <v>0</v>
      </c>
      <c r="AC80" s="85">
        <v>0</v>
      </c>
      <c r="AD80" s="85">
        <v>0</v>
      </c>
      <c r="AE80" s="85">
        <v>0</v>
      </c>
      <c r="AF80" s="85">
        <v>0</v>
      </c>
      <c r="AG80" s="85">
        <v>0</v>
      </c>
      <c r="AH80" s="85">
        <v>0</v>
      </c>
      <c r="AI80" s="85">
        <v>0</v>
      </c>
      <c r="AJ80" s="85">
        <v>0</v>
      </c>
      <c r="AK80" s="85">
        <v>0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85">
        <v>0</v>
      </c>
      <c r="AS80" s="85">
        <v>0</v>
      </c>
      <c r="AT80" s="85">
        <v>0</v>
      </c>
      <c r="AU80" s="85">
        <f t="shared" si="54"/>
        <v>0</v>
      </c>
      <c r="AV80" s="235">
        <f t="shared" si="52"/>
        <v>3768</v>
      </c>
      <c r="AW80" s="280"/>
      <c r="AX80" s="275">
        <v>3768</v>
      </c>
      <c r="AY80" s="222">
        <v>3768</v>
      </c>
      <c r="AZ80" s="114">
        <f t="shared" si="53"/>
        <v>0</v>
      </c>
      <c r="BA80" s="83"/>
      <c r="BB80" s="128"/>
      <c r="BC80" s="125"/>
      <c r="BD80" s="20"/>
      <c r="BE80" s="20"/>
    </row>
    <row r="81" spans="1:57" s="14" customFormat="1" ht="12.75">
      <c r="A81" s="73" t="s">
        <v>1</v>
      </c>
      <c r="B81" s="88">
        <v>2</v>
      </c>
      <c r="C81" s="89" t="s">
        <v>30</v>
      </c>
      <c r="D81" s="88">
        <v>31</v>
      </c>
      <c r="E81" s="90" t="s">
        <v>286</v>
      </c>
      <c r="F81" s="85">
        <v>466</v>
      </c>
      <c r="G81" s="85">
        <v>0</v>
      </c>
      <c r="H81" s="85">
        <f t="shared" si="45"/>
        <v>466</v>
      </c>
      <c r="I81" s="83">
        <v>0</v>
      </c>
      <c r="J81" s="84">
        <f t="shared" si="46"/>
        <v>466</v>
      </c>
      <c r="K81" s="282"/>
      <c r="L81" s="85">
        <v>0</v>
      </c>
      <c r="M81" s="85">
        <v>-1</v>
      </c>
      <c r="N81" s="84">
        <f t="shared" si="47"/>
        <v>465</v>
      </c>
      <c r="O81" s="85"/>
      <c r="P81" s="85">
        <f t="shared" si="48"/>
        <v>466</v>
      </c>
      <c r="Q81" s="85">
        <f t="shared" si="49"/>
        <v>466</v>
      </c>
      <c r="R81" s="85">
        <f t="shared" si="50"/>
        <v>-1</v>
      </c>
      <c r="S81" s="85">
        <v>0</v>
      </c>
      <c r="T81" s="85">
        <v>0</v>
      </c>
      <c r="U81" s="85">
        <f>SUM(Q81:T81)</f>
        <v>465</v>
      </c>
      <c r="V81" s="85">
        <v>0</v>
      </c>
      <c r="W81" s="85">
        <v>0</v>
      </c>
      <c r="X81" s="83">
        <v>0</v>
      </c>
      <c r="Y81" s="83">
        <v>0</v>
      </c>
      <c r="Z81" s="83">
        <v>0</v>
      </c>
      <c r="AA81" s="85">
        <v>0</v>
      </c>
      <c r="AB81" s="85">
        <v>0</v>
      </c>
      <c r="AC81" s="85">
        <v>0</v>
      </c>
      <c r="AD81" s="85">
        <v>0</v>
      </c>
      <c r="AE81" s="85">
        <v>0</v>
      </c>
      <c r="AF81" s="85">
        <v>0</v>
      </c>
      <c r="AG81" s="85">
        <v>0</v>
      </c>
      <c r="AH81" s="85">
        <v>0</v>
      </c>
      <c r="AI81" s="85">
        <v>0</v>
      </c>
      <c r="AJ81" s="85">
        <v>0</v>
      </c>
      <c r="AK81" s="85">
        <v>5400</v>
      </c>
      <c r="AL81" s="85">
        <v>0</v>
      </c>
      <c r="AM81" s="85">
        <v>0</v>
      </c>
      <c r="AN81" s="85">
        <v>0</v>
      </c>
      <c r="AO81" s="85">
        <v>0</v>
      </c>
      <c r="AP81" s="85">
        <v>0</v>
      </c>
      <c r="AQ81" s="85">
        <v>0</v>
      </c>
      <c r="AR81" s="85">
        <v>0</v>
      </c>
      <c r="AS81" s="85">
        <v>0</v>
      </c>
      <c r="AT81" s="85">
        <v>0</v>
      </c>
      <c r="AU81" s="85">
        <f t="shared" si="54"/>
        <v>0</v>
      </c>
      <c r="AV81" s="235">
        <f t="shared" si="52"/>
        <v>5865</v>
      </c>
      <c r="AW81" s="280"/>
      <c r="AX81" s="275">
        <f>465+5400</f>
        <v>5865</v>
      </c>
      <c r="AY81" s="222">
        <f>465+5400</f>
        <v>5865</v>
      </c>
      <c r="AZ81" s="114">
        <f>SUM(AY81-AX81)</f>
        <v>0</v>
      </c>
      <c r="BA81" s="83"/>
      <c r="BB81" s="128"/>
      <c r="BC81" s="125"/>
      <c r="BD81" s="20"/>
      <c r="BE81" s="20"/>
    </row>
    <row r="82" spans="1:57" s="14" customFormat="1" ht="12.75">
      <c r="A82" s="73" t="s">
        <v>1</v>
      </c>
      <c r="B82" s="88">
        <v>2</v>
      </c>
      <c r="C82" s="89" t="s">
        <v>30</v>
      </c>
      <c r="D82" s="88">
        <v>31</v>
      </c>
      <c r="E82" s="90" t="s">
        <v>286</v>
      </c>
      <c r="F82" s="85">
        <v>50</v>
      </c>
      <c r="G82" s="85">
        <v>0</v>
      </c>
      <c r="H82" s="85">
        <f t="shared" si="45"/>
        <v>50</v>
      </c>
      <c r="I82" s="83">
        <v>0</v>
      </c>
      <c r="J82" s="84">
        <f t="shared" si="46"/>
        <v>50</v>
      </c>
      <c r="K82" s="282"/>
      <c r="L82" s="85">
        <v>0</v>
      </c>
      <c r="M82" s="85">
        <v>0</v>
      </c>
      <c r="N82" s="84">
        <f t="shared" si="47"/>
        <v>50</v>
      </c>
      <c r="O82" s="85"/>
      <c r="P82" s="85">
        <f t="shared" si="48"/>
        <v>50</v>
      </c>
      <c r="Q82" s="85">
        <f t="shared" si="49"/>
        <v>50</v>
      </c>
      <c r="R82" s="85">
        <f t="shared" si="50"/>
        <v>0</v>
      </c>
      <c r="S82" s="85">
        <v>0</v>
      </c>
      <c r="T82" s="85">
        <v>0</v>
      </c>
      <c r="U82" s="85">
        <f>SUM(Q82:T82)</f>
        <v>50</v>
      </c>
      <c r="V82" s="85">
        <v>0</v>
      </c>
      <c r="W82" s="85">
        <v>0</v>
      </c>
      <c r="X82" s="83">
        <v>0</v>
      </c>
      <c r="Y82" s="83">
        <v>800</v>
      </c>
      <c r="Z82" s="83">
        <v>0</v>
      </c>
      <c r="AA82" s="85">
        <v>0</v>
      </c>
      <c r="AB82" s="85">
        <v>0</v>
      </c>
      <c r="AC82" s="85">
        <v>0</v>
      </c>
      <c r="AD82" s="85">
        <v>0</v>
      </c>
      <c r="AE82" s="85">
        <v>0</v>
      </c>
      <c r="AF82" s="85">
        <v>0</v>
      </c>
      <c r="AG82" s="85">
        <v>0</v>
      </c>
      <c r="AH82" s="85">
        <v>0</v>
      </c>
      <c r="AI82" s="85">
        <v>0</v>
      </c>
      <c r="AJ82" s="85">
        <v>0</v>
      </c>
      <c r="AK82" s="85">
        <v>0</v>
      </c>
      <c r="AL82" s="85">
        <v>0</v>
      </c>
      <c r="AM82" s="85">
        <v>0</v>
      </c>
      <c r="AN82" s="85">
        <v>0</v>
      </c>
      <c r="AO82" s="85">
        <v>0</v>
      </c>
      <c r="AP82" s="85">
        <v>0</v>
      </c>
      <c r="AQ82" s="85">
        <v>0</v>
      </c>
      <c r="AR82" s="85">
        <v>0</v>
      </c>
      <c r="AS82" s="85">
        <v>0</v>
      </c>
      <c r="AT82" s="85">
        <v>0</v>
      </c>
      <c r="AU82" s="85">
        <f>SUM(AY82-AX82)+800-800</f>
        <v>0</v>
      </c>
      <c r="AV82" s="235">
        <f t="shared" si="52"/>
        <v>850</v>
      </c>
      <c r="AW82" s="280"/>
      <c r="AX82" s="275">
        <f>50+800</f>
        <v>850</v>
      </c>
      <c r="AY82" s="222">
        <f>50+800</f>
        <v>850</v>
      </c>
      <c r="AZ82" s="114">
        <f>SUM(AY82-AX82)</f>
        <v>0</v>
      </c>
      <c r="BA82" s="83"/>
      <c r="BB82" s="128"/>
      <c r="BC82" s="125"/>
      <c r="BD82" s="20"/>
      <c r="BE82" s="20"/>
    </row>
    <row r="83" spans="1:57" s="14" customFormat="1" ht="12.75">
      <c r="A83" s="73" t="s">
        <v>1</v>
      </c>
      <c r="B83" s="88">
        <v>2</v>
      </c>
      <c r="C83" s="89" t="s">
        <v>30</v>
      </c>
      <c r="D83" s="88">
        <v>31</v>
      </c>
      <c r="E83" s="90" t="s">
        <v>286</v>
      </c>
      <c r="F83" s="85">
        <v>300</v>
      </c>
      <c r="G83" s="85">
        <v>0</v>
      </c>
      <c r="H83" s="85">
        <f t="shared" si="45"/>
        <v>300</v>
      </c>
      <c r="I83" s="83">
        <v>0</v>
      </c>
      <c r="J83" s="84">
        <f t="shared" si="46"/>
        <v>300</v>
      </c>
      <c r="K83" s="282"/>
      <c r="L83" s="85">
        <v>0</v>
      </c>
      <c r="M83" s="85">
        <v>-1</v>
      </c>
      <c r="N83" s="84">
        <f t="shared" si="47"/>
        <v>299</v>
      </c>
      <c r="O83" s="85"/>
      <c r="P83" s="85">
        <f t="shared" si="48"/>
        <v>300</v>
      </c>
      <c r="Q83" s="85">
        <f t="shared" si="49"/>
        <v>300</v>
      </c>
      <c r="R83" s="85">
        <f t="shared" si="50"/>
        <v>-1</v>
      </c>
      <c r="S83" s="85">
        <v>0</v>
      </c>
      <c r="T83" s="85">
        <v>0</v>
      </c>
      <c r="U83" s="85">
        <f t="shared" si="51"/>
        <v>299</v>
      </c>
      <c r="V83" s="85">
        <v>0</v>
      </c>
      <c r="W83" s="85">
        <v>0</v>
      </c>
      <c r="X83" s="83">
        <v>0</v>
      </c>
      <c r="Y83" s="83">
        <v>0</v>
      </c>
      <c r="Z83" s="83">
        <v>0</v>
      </c>
      <c r="AA83" s="85">
        <v>0</v>
      </c>
      <c r="AB83" s="85">
        <v>0</v>
      </c>
      <c r="AC83" s="85">
        <v>0</v>
      </c>
      <c r="AD83" s="85">
        <v>0</v>
      </c>
      <c r="AE83" s="85">
        <v>0</v>
      </c>
      <c r="AF83" s="85">
        <v>0</v>
      </c>
      <c r="AG83" s="85">
        <v>0</v>
      </c>
      <c r="AH83" s="85">
        <v>0</v>
      </c>
      <c r="AI83" s="85">
        <v>0</v>
      </c>
      <c r="AJ83" s="85">
        <v>0</v>
      </c>
      <c r="AK83" s="85">
        <v>0</v>
      </c>
      <c r="AL83" s="85">
        <v>0</v>
      </c>
      <c r="AM83" s="85">
        <v>0</v>
      </c>
      <c r="AN83" s="85">
        <v>0</v>
      </c>
      <c r="AO83" s="85">
        <v>0</v>
      </c>
      <c r="AP83" s="85">
        <v>0</v>
      </c>
      <c r="AQ83" s="85">
        <v>0</v>
      </c>
      <c r="AR83" s="85">
        <v>0</v>
      </c>
      <c r="AS83" s="85">
        <v>0</v>
      </c>
      <c r="AT83" s="85">
        <v>0</v>
      </c>
      <c r="AU83" s="85">
        <f t="shared" si="54"/>
        <v>0</v>
      </c>
      <c r="AV83" s="235">
        <f t="shared" si="52"/>
        <v>299</v>
      </c>
      <c r="AW83" s="280"/>
      <c r="AX83" s="275">
        <v>299</v>
      </c>
      <c r="AY83" s="222">
        <v>299</v>
      </c>
      <c r="AZ83" s="114">
        <f t="shared" si="53"/>
        <v>0</v>
      </c>
      <c r="BA83" s="83"/>
      <c r="BB83" s="128"/>
      <c r="BC83" s="125"/>
      <c r="BD83" s="20"/>
      <c r="BE83" s="20"/>
    </row>
    <row r="84" spans="1:57" s="14" customFormat="1" ht="13.5" thickBot="1">
      <c r="A84" s="73" t="s">
        <v>1</v>
      </c>
      <c r="B84" s="88">
        <v>2</v>
      </c>
      <c r="C84" s="89" t="s">
        <v>30</v>
      </c>
      <c r="D84" s="89" t="s">
        <v>262</v>
      </c>
      <c r="E84" s="90" t="s">
        <v>286</v>
      </c>
      <c r="F84" s="85">
        <v>0</v>
      </c>
      <c r="G84" s="85">
        <v>0</v>
      </c>
      <c r="H84" s="85">
        <v>0</v>
      </c>
      <c r="I84" s="83">
        <v>0</v>
      </c>
      <c r="J84" s="84">
        <f t="shared" si="46"/>
        <v>0</v>
      </c>
      <c r="K84" s="282"/>
      <c r="L84" s="85">
        <v>0</v>
      </c>
      <c r="M84" s="85">
        <v>0</v>
      </c>
      <c r="N84" s="84">
        <f t="shared" si="47"/>
        <v>0</v>
      </c>
      <c r="O84" s="85"/>
      <c r="P84" s="85">
        <f t="shared" si="48"/>
        <v>0</v>
      </c>
      <c r="Q84" s="85">
        <v>0</v>
      </c>
      <c r="R84" s="85">
        <f t="shared" si="50"/>
        <v>0</v>
      </c>
      <c r="S84" s="85">
        <v>0</v>
      </c>
      <c r="T84" s="85">
        <v>0</v>
      </c>
      <c r="U84" s="85">
        <f t="shared" si="51"/>
        <v>0</v>
      </c>
      <c r="V84" s="85">
        <v>0</v>
      </c>
      <c r="W84" s="85">
        <v>0</v>
      </c>
      <c r="X84" s="83">
        <v>0</v>
      </c>
      <c r="Y84" s="83">
        <v>22000</v>
      </c>
      <c r="Z84" s="83">
        <v>0</v>
      </c>
      <c r="AA84" s="85">
        <v>0</v>
      </c>
      <c r="AB84" s="85">
        <v>0</v>
      </c>
      <c r="AC84" s="85">
        <v>0</v>
      </c>
      <c r="AD84" s="85">
        <v>0</v>
      </c>
      <c r="AE84" s="85">
        <v>0</v>
      </c>
      <c r="AF84" s="85">
        <v>0</v>
      </c>
      <c r="AG84" s="85">
        <v>0</v>
      </c>
      <c r="AH84" s="85">
        <v>0</v>
      </c>
      <c r="AI84" s="85">
        <v>0</v>
      </c>
      <c r="AJ84" s="85">
        <v>0</v>
      </c>
      <c r="AK84" s="85">
        <v>0</v>
      </c>
      <c r="AL84" s="85">
        <v>0</v>
      </c>
      <c r="AM84" s="85">
        <v>0</v>
      </c>
      <c r="AN84" s="85">
        <v>0</v>
      </c>
      <c r="AO84" s="85">
        <v>0</v>
      </c>
      <c r="AP84" s="85">
        <v>0</v>
      </c>
      <c r="AQ84" s="85">
        <v>0</v>
      </c>
      <c r="AR84" s="85">
        <v>0</v>
      </c>
      <c r="AS84" s="85">
        <v>0</v>
      </c>
      <c r="AT84" s="85">
        <v>0</v>
      </c>
      <c r="AU84" s="85">
        <v>0</v>
      </c>
      <c r="AV84" s="235">
        <f t="shared" si="52"/>
        <v>22000</v>
      </c>
      <c r="AW84" s="280"/>
      <c r="AX84" s="275">
        <v>22000</v>
      </c>
      <c r="AY84" s="222">
        <v>22000</v>
      </c>
      <c r="AZ84" s="114">
        <f t="shared" si="53"/>
        <v>0</v>
      </c>
      <c r="BA84" s="83"/>
      <c r="BB84" s="128"/>
      <c r="BC84" s="125"/>
      <c r="BD84" s="20"/>
      <c r="BE84" s="20"/>
    </row>
    <row r="85" spans="1:57" s="14" customFormat="1" ht="13.5" thickBot="1">
      <c r="A85" s="308"/>
      <c r="B85" s="309"/>
      <c r="C85" s="309"/>
      <c r="D85" s="309"/>
      <c r="E85" s="310" t="s">
        <v>288</v>
      </c>
      <c r="F85" s="312">
        <f>SUM(F75:F84)</f>
        <v>29354</v>
      </c>
      <c r="G85" s="312">
        <f>SUM(G75:G84)</f>
        <v>0</v>
      </c>
      <c r="H85" s="312">
        <f>SUM(H75:H84)</f>
        <v>29354</v>
      </c>
      <c r="I85" s="312">
        <f>SUM(I75:I84)</f>
        <v>0</v>
      </c>
      <c r="J85" s="313">
        <f>SUM(J75:J84)</f>
        <v>29354</v>
      </c>
      <c r="K85" s="314"/>
      <c r="L85" s="312">
        <f>SUM(L75:L84)</f>
        <v>0</v>
      </c>
      <c r="M85" s="312">
        <f>SUM(M75:M84)</f>
        <v>-85</v>
      </c>
      <c r="N85" s="313">
        <f>SUM(N75:N84)</f>
        <v>29269</v>
      </c>
      <c r="O85" s="312"/>
      <c r="P85" s="312">
        <f aca="true" t="shared" si="55" ref="P85:AV85">SUM(P75:P84)</f>
        <v>29354</v>
      </c>
      <c r="Q85" s="312">
        <f t="shared" si="55"/>
        <v>29354</v>
      </c>
      <c r="R85" s="312">
        <f t="shared" si="55"/>
        <v>-85</v>
      </c>
      <c r="S85" s="312">
        <f t="shared" si="55"/>
        <v>0</v>
      </c>
      <c r="T85" s="312">
        <f t="shared" si="55"/>
        <v>0</v>
      </c>
      <c r="U85" s="312">
        <f t="shared" si="55"/>
        <v>29269</v>
      </c>
      <c r="V85" s="312">
        <f t="shared" si="55"/>
        <v>0</v>
      </c>
      <c r="W85" s="312">
        <f t="shared" si="55"/>
        <v>0</v>
      </c>
      <c r="X85" s="312">
        <f t="shared" si="55"/>
        <v>5194</v>
      </c>
      <c r="Y85" s="312">
        <f t="shared" si="55"/>
        <v>38245</v>
      </c>
      <c r="Z85" s="312">
        <f t="shared" si="55"/>
        <v>0</v>
      </c>
      <c r="AA85" s="312">
        <f t="shared" si="55"/>
        <v>0</v>
      </c>
      <c r="AB85" s="312">
        <f t="shared" si="55"/>
        <v>0</v>
      </c>
      <c r="AC85" s="312">
        <f t="shared" si="55"/>
        <v>300</v>
      </c>
      <c r="AD85" s="312">
        <f t="shared" si="55"/>
        <v>0</v>
      </c>
      <c r="AE85" s="312">
        <f t="shared" si="55"/>
        <v>25000</v>
      </c>
      <c r="AF85" s="312">
        <f t="shared" si="55"/>
        <v>0</v>
      </c>
      <c r="AG85" s="312">
        <f t="shared" si="55"/>
        <v>0</v>
      </c>
      <c r="AH85" s="312">
        <f t="shared" si="55"/>
        <v>0</v>
      </c>
      <c r="AI85" s="312">
        <f t="shared" si="55"/>
        <v>0</v>
      </c>
      <c r="AJ85" s="312">
        <f t="shared" si="55"/>
        <v>0</v>
      </c>
      <c r="AK85" s="312">
        <f t="shared" si="55"/>
        <v>5400</v>
      </c>
      <c r="AL85" s="312">
        <f t="shared" si="55"/>
        <v>0</v>
      </c>
      <c r="AM85" s="312">
        <f t="shared" si="55"/>
        <v>0</v>
      </c>
      <c r="AN85" s="312">
        <f t="shared" si="55"/>
        <v>0</v>
      </c>
      <c r="AO85" s="312">
        <f t="shared" si="55"/>
        <v>13000</v>
      </c>
      <c r="AP85" s="312">
        <f t="shared" si="55"/>
        <v>0</v>
      </c>
      <c r="AQ85" s="312">
        <f t="shared" si="55"/>
        <v>0</v>
      </c>
      <c r="AR85" s="312">
        <f t="shared" si="55"/>
        <v>0</v>
      </c>
      <c r="AS85" s="312">
        <f t="shared" si="55"/>
        <v>0</v>
      </c>
      <c r="AT85" s="312">
        <f t="shared" si="55"/>
        <v>0</v>
      </c>
      <c r="AU85" s="312">
        <f t="shared" si="55"/>
        <v>0</v>
      </c>
      <c r="AV85" s="315">
        <f t="shared" si="55"/>
        <v>116408</v>
      </c>
      <c r="AW85" s="302"/>
      <c r="AX85" s="350">
        <f>SUM(AX75:AX84)</f>
        <v>116408</v>
      </c>
      <c r="AY85" s="350">
        <f>SUM(AY75:AY84)</f>
        <v>116408</v>
      </c>
      <c r="AZ85" s="316">
        <f>SUM(AZ75:AZ84)</f>
        <v>0</v>
      </c>
      <c r="BA85" s="83"/>
      <c r="BB85" s="128"/>
      <c r="BC85" s="125"/>
      <c r="BD85" s="20"/>
      <c r="BE85" s="20"/>
    </row>
    <row r="86" spans="1:57" s="11" customFormat="1" ht="12.75">
      <c r="A86" s="76"/>
      <c r="B86" s="77"/>
      <c r="C86" s="77"/>
      <c r="D86" s="77"/>
      <c r="E86" s="80"/>
      <c r="F86" s="58"/>
      <c r="G86" s="58"/>
      <c r="H86" s="58"/>
      <c r="I86" s="79"/>
      <c r="J86" s="78"/>
      <c r="K86" s="56"/>
      <c r="L86" s="58"/>
      <c r="M86" s="58"/>
      <c r="N86" s="78"/>
      <c r="O86" s="58"/>
      <c r="P86" s="58"/>
      <c r="Q86" s="58"/>
      <c r="R86" s="58"/>
      <c r="S86" s="58"/>
      <c r="T86" s="58"/>
      <c r="U86" s="58"/>
      <c r="V86" s="58"/>
      <c r="W86" s="58"/>
      <c r="X86" s="79"/>
      <c r="Y86" s="79"/>
      <c r="Z86" s="79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233"/>
      <c r="AW86" s="280"/>
      <c r="AX86" s="273"/>
      <c r="AY86" s="221"/>
      <c r="AZ86" s="57"/>
      <c r="BA86" s="79"/>
      <c r="BB86" s="128"/>
      <c r="BC86" s="125"/>
      <c r="BD86" s="52"/>
      <c r="BE86" s="52"/>
    </row>
    <row r="87" spans="1:57" s="14" customFormat="1" ht="12.75">
      <c r="A87" s="73" t="s">
        <v>1</v>
      </c>
      <c r="B87" s="88">
        <v>3</v>
      </c>
      <c r="C87" s="89" t="s">
        <v>30</v>
      </c>
      <c r="D87" s="88">
        <v>45</v>
      </c>
      <c r="E87" s="90" t="s">
        <v>286</v>
      </c>
      <c r="F87" s="85">
        <v>255086</v>
      </c>
      <c r="G87" s="85">
        <v>2000</v>
      </c>
      <c r="H87" s="85">
        <f>SUM(F87:G87)</f>
        <v>257086</v>
      </c>
      <c r="I87" s="83">
        <v>0</v>
      </c>
      <c r="J87" s="84">
        <f>SUM(H87:I87)</f>
        <v>257086</v>
      </c>
      <c r="K87" s="282"/>
      <c r="L87" s="85">
        <v>0</v>
      </c>
      <c r="M87" s="85">
        <v>-758</v>
      </c>
      <c r="N87" s="84">
        <f>SUM(J87:M87)</f>
        <v>256328</v>
      </c>
      <c r="O87" s="85"/>
      <c r="P87" s="85">
        <f>SUM(F87)</f>
        <v>255086</v>
      </c>
      <c r="Q87" s="85">
        <f>SUM(J87)</f>
        <v>257086</v>
      </c>
      <c r="R87" s="85">
        <f>SUM(L87+M87)</f>
        <v>-758</v>
      </c>
      <c r="S87" s="85">
        <v>0</v>
      </c>
      <c r="T87" s="85">
        <v>0</v>
      </c>
      <c r="U87" s="85">
        <f>SUM(Q87:T87)</f>
        <v>256328</v>
      </c>
      <c r="V87" s="85">
        <v>0</v>
      </c>
      <c r="W87" s="85">
        <v>0</v>
      </c>
      <c r="X87" s="83">
        <v>2000</v>
      </c>
      <c r="Y87" s="83">
        <v>19367</v>
      </c>
      <c r="Z87" s="83">
        <v>0</v>
      </c>
      <c r="AA87" s="85">
        <v>0</v>
      </c>
      <c r="AB87" s="85">
        <v>-2000</v>
      </c>
      <c r="AC87" s="85">
        <v>0</v>
      </c>
      <c r="AD87" s="85">
        <v>0</v>
      </c>
      <c r="AE87" s="85">
        <v>0</v>
      </c>
      <c r="AF87" s="85">
        <v>0</v>
      </c>
      <c r="AG87" s="85">
        <v>0</v>
      </c>
      <c r="AH87" s="85">
        <v>0</v>
      </c>
      <c r="AI87" s="85">
        <v>0</v>
      </c>
      <c r="AJ87" s="85">
        <v>600</v>
      </c>
      <c r="AK87" s="85">
        <v>0</v>
      </c>
      <c r="AL87" s="85">
        <v>0</v>
      </c>
      <c r="AM87" s="85">
        <v>0</v>
      </c>
      <c r="AN87" s="85">
        <v>0</v>
      </c>
      <c r="AO87" s="85">
        <v>1400</v>
      </c>
      <c r="AP87" s="85">
        <v>0</v>
      </c>
      <c r="AQ87" s="85">
        <v>0</v>
      </c>
      <c r="AR87" s="85">
        <v>0</v>
      </c>
      <c r="AS87" s="85">
        <v>0</v>
      </c>
      <c r="AT87" s="85">
        <v>0</v>
      </c>
      <c r="AU87" s="85">
        <f>SUM(AY87-AX87)+19367-19367</f>
        <v>0</v>
      </c>
      <c r="AV87" s="235">
        <f>SUM(U87:AU87)</f>
        <v>277695</v>
      </c>
      <c r="AW87" s="280"/>
      <c r="AX87" s="275">
        <f>258328-2000+19367+600</f>
        <v>276295</v>
      </c>
      <c r="AY87" s="222">
        <f>258328-2000+19967</f>
        <v>276295</v>
      </c>
      <c r="AZ87" s="114">
        <f>SUM(AY87-AX87)</f>
        <v>0</v>
      </c>
      <c r="BA87" s="83"/>
      <c r="BB87" s="128"/>
      <c r="BC87" s="125"/>
      <c r="BD87" s="20"/>
      <c r="BE87" s="20"/>
    </row>
    <row r="88" spans="1:57" s="14" customFormat="1" ht="13.5" thickBot="1">
      <c r="A88" s="73"/>
      <c r="B88" s="88"/>
      <c r="C88" s="89"/>
      <c r="D88" s="88">
        <v>45</v>
      </c>
      <c r="E88" s="90" t="s">
        <v>286</v>
      </c>
      <c r="F88" s="85">
        <v>3815</v>
      </c>
      <c r="G88" s="85">
        <v>0</v>
      </c>
      <c r="H88" s="85">
        <f>SUM(F88:G88)</f>
        <v>3815</v>
      </c>
      <c r="I88" s="83">
        <v>0</v>
      </c>
      <c r="J88" s="84">
        <f>SUM(H88:I88)</f>
        <v>3815</v>
      </c>
      <c r="K88" s="282"/>
      <c r="L88" s="85">
        <v>0</v>
      </c>
      <c r="M88" s="85">
        <v>-11</v>
      </c>
      <c r="N88" s="84">
        <f>SUM(J88:M88)</f>
        <v>3804</v>
      </c>
      <c r="O88" s="85"/>
      <c r="P88" s="85">
        <f>SUM(F88)</f>
        <v>3815</v>
      </c>
      <c r="Q88" s="85">
        <f>SUM(J88)</f>
        <v>3815</v>
      </c>
      <c r="R88" s="85">
        <f>SUM(L88+M88)</f>
        <v>-11</v>
      </c>
      <c r="S88" s="85">
        <v>0</v>
      </c>
      <c r="T88" s="85">
        <v>0</v>
      </c>
      <c r="U88" s="85">
        <f>SUM(Q88:T88)</f>
        <v>3804</v>
      </c>
      <c r="V88" s="85">
        <v>0</v>
      </c>
      <c r="W88" s="85">
        <v>0</v>
      </c>
      <c r="X88" s="83">
        <v>2863</v>
      </c>
      <c r="Y88" s="83">
        <v>0</v>
      </c>
      <c r="Z88" s="83">
        <v>0</v>
      </c>
      <c r="AA88" s="85">
        <v>0</v>
      </c>
      <c r="AB88" s="85">
        <v>0</v>
      </c>
      <c r="AC88" s="85">
        <v>0</v>
      </c>
      <c r="AD88" s="85">
        <v>0</v>
      </c>
      <c r="AE88" s="85">
        <v>0</v>
      </c>
      <c r="AF88" s="85">
        <v>0</v>
      </c>
      <c r="AG88" s="85">
        <v>0</v>
      </c>
      <c r="AH88" s="85">
        <v>0</v>
      </c>
      <c r="AI88" s="85">
        <v>0</v>
      </c>
      <c r="AJ88" s="85">
        <v>0</v>
      </c>
      <c r="AK88" s="85">
        <v>0</v>
      </c>
      <c r="AL88" s="85">
        <v>0</v>
      </c>
      <c r="AM88" s="85">
        <v>0</v>
      </c>
      <c r="AN88" s="85">
        <v>0</v>
      </c>
      <c r="AO88" s="85">
        <v>0</v>
      </c>
      <c r="AP88" s="85">
        <v>0</v>
      </c>
      <c r="AQ88" s="85">
        <v>0</v>
      </c>
      <c r="AR88" s="85">
        <v>0</v>
      </c>
      <c r="AS88" s="85">
        <v>0</v>
      </c>
      <c r="AT88" s="85">
        <v>0</v>
      </c>
      <c r="AU88" s="85">
        <f>SUM(AY88-AX88)</f>
        <v>0</v>
      </c>
      <c r="AV88" s="235">
        <f>SUM(U88:AU88)</f>
        <v>6667</v>
      </c>
      <c r="AW88" s="280"/>
      <c r="AX88" s="275">
        <f>6667+1400</f>
        <v>8067</v>
      </c>
      <c r="AY88" s="222">
        <f>6667+1400</f>
        <v>8067</v>
      </c>
      <c r="AZ88" s="86">
        <f>SUM(AY88-AX88)</f>
        <v>0</v>
      </c>
      <c r="BA88" s="83"/>
      <c r="BB88" s="128"/>
      <c r="BC88" s="125"/>
      <c r="BD88" s="20"/>
      <c r="BE88" s="20"/>
    </row>
    <row r="89" spans="1:57" s="14" customFormat="1" ht="13.5" thickBot="1">
      <c r="A89" s="308"/>
      <c r="B89" s="309"/>
      <c r="C89" s="309"/>
      <c r="D89" s="309"/>
      <c r="E89" s="310" t="s">
        <v>287</v>
      </c>
      <c r="F89" s="312">
        <f>SUM(F87:F88)</f>
        <v>258901</v>
      </c>
      <c r="G89" s="312">
        <f>SUM(G87:G88)</f>
        <v>2000</v>
      </c>
      <c r="H89" s="312">
        <f>SUM(H87:H88)</f>
        <v>260901</v>
      </c>
      <c r="I89" s="311">
        <f>SUM(I87:I88)</f>
        <v>0</v>
      </c>
      <c r="J89" s="313">
        <f>SUM(J87:J88)</f>
        <v>260901</v>
      </c>
      <c r="K89" s="314"/>
      <c r="L89" s="312">
        <f>SUM(L87:L88)</f>
        <v>0</v>
      </c>
      <c r="M89" s="312">
        <f>SUM(M87:M88)</f>
        <v>-769</v>
      </c>
      <c r="N89" s="313">
        <f>SUM(N87:N88)</f>
        <v>260132</v>
      </c>
      <c r="O89" s="312"/>
      <c r="P89" s="312">
        <f aca="true" t="shared" si="56" ref="P89:AV89">SUM(P87:P88)</f>
        <v>258901</v>
      </c>
      <c r="Q89" s="312">
        <f t="shared" si="56"/>
        <v>260901</v>
      </c>
      <c r="R89" s="312">
        <f t="shared" si="56"/>
        <v>-769</v>
      </c>
      <c r="S89" s="312">
        <f t="shared" si="56"/>
        <v>0</v>
      </c>
      <c r="T89" s="312">
        <f t="shared" si="56"/>
        <v>0</v>
      </c>
      <c r="U89" s="312">
        <f t="shared" si="56"/>
        <v>260132</v>
      </c>
      <c r="V89" s="312">
        <f t="shared" si="56"/>
        <v>0</v>
      </c>
      <c r="W89" s="312">
        <f t="shared" si="56"/>
        <v>0</v>
      </c>
      <c r="X89" s="311">
        <f t="shared" si="56"/>
        <v>4863</v>
      </c>
      <c r="Y89" s="311">
        <f>SUM(Y87:Y88)</f>
        <v>19367</v>
      </c>
      <c r="Z89" s="311">
        <f>SUM(Z87:Z88)</f>
        <v>0</v>
      </c>
      <c r="AA89" s="312">
        <f t="shared" si="56"/>
        <v>0</v>
      </c>
      <c r="AB89" s="312">
        <f t="shared" si="56"/>
        <v>-2000</v>
      </c>
      <c r="AC89" s="312">
        <f t="shared" si="56"/>
        <v>0</v>
      </c>
      <c r="AD89" s="312">
        <f t="shared" si="56"/>
        <v>0</v>
      </c>
      <c r="AE89" s="312">
        <f t="shared" si="56"/>
        <v>0</v>
      </c>
      <c r="AF89" s="312">
        <f t="shared" si="56"/>
        <v>0</v>
      </c>
      <c r="AG89" s="312">
        <f t="shared" si="56"/>
        <v>0</v>
      </c>
      <c r="AH89" s="312">
        <f t="shared" si="56"/>
        <v>0</v>
      </c>
      <c r="AI89" s="312">
        <f t="shared" si="56"/>
        <v>0</v>
      </c>
      <c r="AJ89" s="312">
        <f t="shared" si="56"/>
        <v>600</v>
      </c>
      <c r="AK89" s="312">
        <f t="shared" si="56"/>
        <v>0</v>
      </c>
      <c r="AL89" s="312">
        <f t="shared" si="56"/>
        <v>0</v>
      </c>
      <c r="AM89" s="312">
        <f t="shared" si="56"/>
        <v>0</v>
      </c>
      <c r="AN89" s="312">
        <f t="shared" si="56"/>
        <v>0</v>
      </c>
      <c r="AO89" s="312">
        <f t="shared" si="56"/>
        <v>1400</v>
      </c>
      <c r="AP89" s="312">
        <f t="shared" si="56"/>
        <v>0</v>
      </c>
      <c r="AQ89" s="312">
        <f t="shared" si="56"/>
        <v>0</v>
      </c>
      <c r="AR89" s="312">
        <f t="shared" si="56"/>
        <v>0</v>
      </c>
      <c r="AS89" s="312">
        <f t="shared" si="56"/>
        <v>0</v>
      </c>
      <c r="AT89" s="312">
        <f t="shared" si="56"/>
        <v>0</v>
      </c>
      <c r="AU89" s="312">
        <f t="shared" si="56"/>
        <v>0</v>
      </c>
      <c r="AV89" s="315">
        <f t="shared" si="56"/>
        <v>284362</v>
      </c>
      <c r="AW89" s="353"/>
      <c r="AX89" s="350">
        <f>SUM(AX87:AX88)</f>
        <v>284362</v>
      </c>
      <c r="AY89" s="350">
        <f>SUM(AY87:AY88)</f>
        <v>284362</v>
      </c>
      <c r="AZ89" s="361">
        <f>SUM(AZ87:AZ88)</f>
        <v>0</v>
      </c>
      <c r="BA89" s="83"/>
      <c r="BB89" s="128"/>
      <c r="BC89" s="125"/>
      <c r="BD89" s="20"/>
      <c r="BE89" s="20"/>
    </row>
    <row r="90" spans="1:57" ht="13.5" thickBot="1">
      <c r="A90" s="66"/>
      <c r="B90" s="67"/>
      <c r="C90" s="67"/>
      <c r="D90" s="67"/>
      <c r="E90" s="3"/>
      <c r="F90" s="4"/>
      <c r="G90" s="4"/>
      <c r="H90" s="4"/>
      <c r="I90" s="68"/>
      <c r="J90" s="72"/>
      <c r="K90" s="293"/>
      <c r="L90" s="4"/>
      <c r="M90" s="4"/>
      <c r="N90" s="72"/>
      <c r="O90" s="4"/>
      <c r="P90" s="4"/>
      <c r="Q90" s="4"/>
      <c r="R90" s="4"/>
      <c r="S90" s="4"/>
      <c r="T90" s="4"/>
      <c r="U90" s="4"/>
      <c r="V90" s="4"/>
      <c r="W90" s="4"/>
      <c r="X90" s="68"/>
      <c r="Y90" s="68"/>
      <c r="Z90" s="68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232"/>
      <c r="AW90" s="278"/>
      <c r="AX90" s="271"/>
      <c r="AY90" s="220"/>
      <c r="AZ90" s="5"/>
      <c r="BA90" s="68"/>
      <c r="BB90" s="229"/>
      <c r="BC90" s="230"/>
      <c r="BD90" s="238"/>
      <c r="BE90" s="238"/>
    </row>
    <row r="91" spans="1:57" s="11" customFormat="1" ht="13.5" thickBot="1">
      <c r="A91" s="340"/>
      <c r="B91" s="341"/>
      <c r="C91" s="341"/>
      <c r="D91" s="341"/>
      <c r="E91" s="342" t="s">
        <v>215</v>
      </c>
      <c r="F91" s="218">
        <f>SUM(F16+F20+F33+F36+F39+F43+F46+F49+F52+F55+F58+F61+F64+F73+F85+F89)</f>
        <v>1238314</v>
      </c>
      <c r="G91" s="218">
        <f>SUM(G16+G20+G33+G36+G39+G43+G46+G49+G52+G55+G58+G61+G64+G73+G85+G89)</f>
        <v>-46752</v>
      </c>
      <c r="H91" s="218">
        <f>SUM(H16+H20+H33+H36+H39+H43+H46+H49+H52+H55+H58+H61+H64+H73+H85+H89)</f>
        <v>1191562</v>
      </c>
      <c r="I91" s="218">
        <f>SUM(I16+I20+I33+I36+I39+I43+I46+I49+I52+I55+I58+I61+I64+I73+I85+I89)</f>
        <v>0</v>
      </c>
      <c r="J91" s="218">
        <f>SUM(J16+J20+J33+J36+J39+J43+J46+J49+J52+J55+J58+J61+J64+J73+J85+J89)</f>
        <v>1191562</v>
      </c>
      <c r="K91" s="38"/>
      <c r="L91" s="218">
        <f>SUM(L16+L20+L33+L36+L39+L43+L46+L49+L52+L55+L58+L61+L64+L73+L85+L89)</f>
        <v>0</v>
      </c>
      <c r="M91" s="218">
        <f>SUM(M16+M20+M33+M36+M39+M43+M46+M49+M52+M55+M58+M61+M64+M73+M85+M89)</f>
        <v>-3513</v>
      </c>
      <c r="N91" s="218">
        <f>SUM(N16+N20+N33+N36+N39+N43+N46+N49+N52+N55+N58+N61+N64+N73+N85+N89)</f>
        <v>1188049</v>
      </c>
      <c r="O91" s="218"/>
      <c r="P91" s="218">
        <f aca="true" t="shared" si="57" ref="P91:AV91">SUM(P16+P20+P33+P36+P39+P43+P46+P49+P52+P55+P58+P61+P64+P73+P85+P89)</f>
        <v>1238314</v>
      </c>
      <c r="Q91" s="218">
        <f t="shared" si="57"/>
        <v>1191562</v>
      </c>
      <c r="R91" s="218">
        <f t="shared" si="57"/>
        <v>-3513</v>
      </c>
      <c r="S91" s="218">
        <f t="shared" si="57"/>
        <v>0</v>
      </c>
      <c r="T91" s="218">
        <f t="shared" si="57"/>
        <v>0</v>
      </c>
      <c r="U91" s="218">
        <f t="shared" si="57"/>
        <v>1188049</v>
      </c>
      <c r="V91" s="218">
        <f t="shared" si="57"/>
        <v>0</v>
      </c>
      <c r="W91" s="218">
        <f t="shared" si="57"/>
        <v>0</v>
      </c>
      <c r="X91" s="218">
        <f t="shared" si="57"/>
        <v>65217</v>
      </c>
      <c r="Y91" s="218">
        <f t="shared" si="57"/>
        <v>223871</v>
      </c>
      <c r="Z91" s="218">
        <f t="shared" si="57"/>
        <v>0</v>
      </c>
      <c r="AA91" s="218">
        <f t="shared" si="57"/>
        <v>659</v>
      </c>
      <c r="AB91" s="218">
        <f t="shared" si="57"/>
        <v>-2000</v>
      </c>
      <c r="AC91" s="218">
        <f t="shared" si="57"/>
        <v>300</v>
      </c>
      <c r="AD91" s="218">
        <f t="shared" si="57"/>
        <v>-276</v>
      </c>
      <c r="AE91" s="218">
        <f t="shared" si="57"/>
        <v>31400</v>
      </c>
      <c r="AF91" s="218">
        <f t="shared" si="57"/>
        <v>-29911</v>
      </c>
      <c r="AG91" s="218">
        <f t="shared" si="57"/>
        <v>657</v>
      </c>
      <c r="AH91" s="218">
        <f t="shared" si="57"/>
        <v>0</v>
      </c>
      <c r="AI91" s="218">
        <f t="shared" si="57"/>
        <v>-2400</v>
      </c>
      <c r="AJ91" s="218">
        <f t="shared" si="57"/>
        <v>600</v>
      </c>
      <c r="AK91" s="218">
        <f t="shared" si="57"/>
        <v>3300</v>
      </c>
      <c r="AL91" s="218">
        <f t="shared" si="57"/>
        <v>0</v>
      </c>
      <c r="AM91" s="218">
        <f t="shared" si="57"/>
        <v>0</v>
      </c>
      <c r="AN91" s="218">
        <f t="shared" si="57"/>
        <v>0</v>
      </c>
      <c r="AO91" s="218">
        <f t="shared" si="57"/>
        <v>14400</v>
      </c>
      <c r="AP91" s="218">
        <f t="shared" si="57"/>
        <v>0</v>
      </c>
      <c r="AQ91" s="218">
        <f t="shared" si="57"/>
        <v>0</v>
      </c>
      <c r="AR91" s="218">
        <f t="shared" si="57"/>
        <v>0</v>
      </c>
      <c r="AS91" s="218">
        <f t="shared" si="57"/>
        <v>0</v>
      </c>
      <c r="AT91" s="218">
        <f t="shared" si="57"/>
        <v>0</v>
      </c>
      <c r="AU91" s="218">
        <f t="shared" si="57"/>
        <v>0</v>
      </c>
      <c r="AV91" s="218">
        <f t="shared" si="57"/>
        <v>1493865</v>
      </c>
      <c r="AW91" s="38"/>
      <c r="AX91" s="218">
        <f>SUM(AX16+AX20+AX33+AX36+AX39+AX43+AX46+AX49+AX52+AX55+AX58+AX61+AX64+AX73+AX85+AX89)</f>
        <v>1493865</v>
      </c>
      <c r="AY91" s="218">
        <f>SUM(AY16+AY20+AY33+AY36+AY39+AY43+AY46+AY49+AY52+AY55+AY58+AY61+AY64+AY73+AY85+AY89)</f>
        <v>1493865</v>
      </c>
      <c r="AZ91" s="39">
        <f>SUM(AZ16+AZ20+AZ33+AZ36+AZ39+AZ43+AZ46+AZ49+AZ52+AZ55+AZ58+AZ61+AZ64+AZ73+AZ85+AZ89)</f>
        <v>0</v>
      </c>
      <c r="BA91" s="79"/>
      <c r="BB91" s="129"/>
      <c r="BC91" s="230"/>
      <c r="BD91" s="52"/>
      <c r="BE91" s="52"/>
    </row>
    <row r="92" spans="1:57" ht="12.75">
      <c r="A92" s="66"/>
      <c r="B92" s="67"/>
      <c r="C92" s="67"/>
      <c r="D92" s="67"/>
      <c r="E92" s="3"/>
      <c r="F92" s="4"/>
      <c r="G92" s="4"/>
      <c r="H92" s="4"/>
      <c r="I92" s="68"/>
      <c r="J92" s="72"/>
      <c r="K92" s="293"/>
      <c r="L92" s="4"/>
      <c r="M92" s="4"/>
      <c r="N92" s="72"/>
      <c r="O92" s="4"/>
      <c r="P92" s="4"/>
      <c r="Q92" s="4"/>
      <c r="R92" s="4"/>
      <c r="S92" s="4"/>
      <c r="T92" s="4"/>
      <c r="U92" s="4"/>
      <c r="V92" s="4"/>
      <c r="W92" s="4"/>
      <c r="X92" s="68"/>
      <c r="Y92" s="68"/>
      <c r="Z92" s="68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232"/>
      <c r="AW92" s="278"/>
      <c r="AX92" s="271"/>
      <c r="AY92" s="220"/>
      <c r="AZ92" s="5"/>
      <c r="BA92" s="68"/>
      <c r="BB92" s="229"/>
      <c r="BC92" s="230"/>
      <c r="BD92" s="238"/>
      <c r="BE92" s="238"/>
    </row>
    <row r="93" spans="1:57" ht="12.75">
      <c r="A93" s="97"/>
      <c r="B93" s="98"/>
      <c r="C93" s="98"/>
      <c r="D93" s="98"/>
      <c r="E93" s="99"/>
      <c r="F93" s="100"/>
      <c r="G93" s="100"/>
      <c r="H93" s="100"/>
      <c r="I93" s="100"/>
      <c r="J93" s="100"/>
      <c r="K93" s="294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283"/>
      <c r="AX93" s="100"/>
      <c r="AY93" s="100"/>
      <c r="AZ93" s="101"/>
      <c r="BA93" s="68"/>
      <c r="BB93" s="229"/>
      <c r="BC93" s="230"/>
      <c r="BD93" s="238"/>
      <c r="BE93" s="238"/>
    </row>
    <row r="94" spans="1:57" ht="12.75">
      <c r="A94" s="66"/>
      <c r="B94" s="67"/>
      <c r="C94" s="67"/>
      <c r="D94" s="67"/>
      <c r="E94" s="3"/>
      <c r="F94" s="4"/>
      <c r="G94" s="4"/>
      <c r="H94" s="4"/>
      <c r="I94" s="68"/>
      <c r="J94" s="72"/>
      <c r="K94" s="293"/>
      <c r="L94" s="4"/>
      <c r="M94" s="4"/>
      <c r="N94" s="72"/>
      <c r="O94" s="4"/>
      <c r="P94" s="4"/>
      <c r="Q94" s="4"/>
      <c r="R94" s="4"/>
      <c r="S94" s="4"/>
      <c r="T94" s="4"/>
      <c r="U94" s="4"/>
      <c r="V94" s="4"/>
      <c r="W94" s="4"/>
      <c r="X94" s="68"/>
      <c r="Y94" s="68"/>
      <c r="Z94" s="68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232"/>
      <c r="AW94" s="278"/>
      <c r="AX94" s="271"/>
      <c r="AY94" s="220"/>
      <c r="AZ94" s="5"/>
      <c r="BA94" s="68"/>
      <c r="BB94" s="229"/>
      <c r="BC94" s="230"/>
      <c r="BD94" s="238"/>
      <c r="BE94" s="238"/>
    </row>
    <row r="95" spans="1:57" ht="12.75">
      <c r="A95" s="73" t="s">
        <v>1</v>
      </c>
      <c r="B95" s="67" t="s">
        <v>21</v>
      </c>
      <c r="C95" s="74" t="s">
        <v>128</v>
      </c>
      <c r="D95" s="67">
        <v>47</v>
      </c>
      <c r="E95" s="3" t="s">
        <v>22</v>
      </c>
      <c r="F95" s="4">
        <v>51950</v>
      </c>
      <c r="G95" s="4">
        <v>0</v>
      </c>
      <c r="H95" s="26">
        <f aca="true" t="shared" si="58" ref="H95:H132">SUM(F95:G95)</f>
        <v>51950</v>
      </c>
      <c r="I95" s="68">
        <v>37400</v>
      </c>
      <c r="J95" s="72">
        <f aca="true" t="shared" si="59" ref="J95:J133">SUM(H95:I95)</f>
        <v>89350</v>
      </c>
      <c r="K95" s="293"/>
      <c r="L95" s="4">
        <v>0</v>
      </c>
      <c r="M95" s="4">
        <v>-153</v>
      </c>
      <c r="N95" s="72">
        <f>SUM(J95:M95)</f>
        <v>89197</v>
      </c>
      <c r="O95" s="4"/>
      <c r="P95" s="4">
        <f>SUM(F95)</f>
        <v>51950</v>
      </c>
      <c r="Q95" s="4">
        <f>SUM(J95)</f>
        <v>89350</v>
      </c>
      <c r="R95" s="4">
        <f>SUM(L95+M95)</f>
        <v>-153</v>
      </c>
      <c r="S95" s="4">
        <v>0</v>
      </c>
      <c r="T95" s="4">
        <v>0</v>
      </c>
      <c r="U95" s="4">
        <f>SUM(Q95:T95)</f>
        <v>89197</v>
      </c>
      <c r="V95" s="4">
        <v>0</v>
      </c>
      <c r="W95" s="4">
        <v>0</v>
      </c>
      <c r="X95" s="68">
        <v>0</v>
      </c>
      <c r="Y95" s="68">
        <v>0</v>
      </c>
      <c r="Z95" s="68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f aca="true" t="shared" si="60" ref="AU95:AU130">SUM(AY95-AX95)</f>
        <v>3644</v>
      </c>
      <c r="AV95" s="232">
        <f aca="true" t="shared" si="61" ref="AV95:AV129">SUM(U95:AU95)</f>
        <v>92841</v>
      </c>
      <c r="AW95" s="278"/>
      <c r="AX95" s="362">
        <v>89197</v>
      </c>
      <c r="AY95" s="223">
        <f>89197-984-3000+8178+2128-2678</f>
        <v>92841</v>
      </c>
      <c r="AZ95" s="5">
        <f aca="true" t="shared" si="62" ref="AZ95:AZ132">SUM(AY95-AX95)</f>
        <v>3644</v>
      </c>
      <c r="BA95" s="68"/>
      <c r="BB95" s="229"/>
      <c r="BC95" s="230"/>
      <c r="BD95" s="345"/>
      <c r="BE95" s="238"/>
    </row>
    <row r="96" spans="1:57" ht="12.75">
      <c r="A96" s="73" t="s">
        <v>1</v>
      </c>
      <c r="B96" s="67" t="s">
        <v>21</v>
      </c>
      <c r="C96" s="74" t="s">
        <v>128</v>
      </c>
      <c r="D96" s="67">
        <v>49</v>
      </c>
      <c r="E96" s="3" t="s">
        <v>132</v>
      </c>
      <c r="F96" s="4">
        <v>63667</v>
      </c>
      <c r="G96" s="4">
        <v>0</v>
      </c>
      <c r="H96" s="26">
        <f t="shared" si="58"/>
        <v>63667</v>
      </c>
      <c r="I96" s="68">
        <v>0</v>
      </c>
      <c r="J96" s="72">
        <f t="shared" si="59"/>
        <v>63667</v>
      </c>
      <c r="K96" s="293"/>
      <c r="L96" s="4">
        <v>0</v>
      </c>
      <c r="M96" s="4">
        <v>-188</v>
      </c>
      <c r="N96" s="72">
        <f aca="true" t="shared" si="63" ref="N96:N132">SUM(J96:M96)</f>
        <v>63479</v>
      </c>
      <c r="O96" s="4"/>
      <c r="P96" s="4">
        <f aca="true" t="shared" si="64" ref="P96:P132">SUM(F96)</f>
        <v>63667</v>
      </c>
      <c r="Q96" s="4">
        <f aca="true" t="shared" si="65" ref="Q96:Q132">SUM(J96)</f>
        <v>63667</v>
      </c>
      <c r="R96" s="4">
        <f aca="true" t="shared" si="66" ref="R96:R132">SUM(L96+M96)</f>
        <v>-188</v>
      </c>
      <c r="S96" s="4">
        <v>0</v>
      </c>
      <c r="T96" s="4">
        <v>0</v>
      </c>
      <c r="U96" s="4">
        <f aca="true" t="shared" si="67" ref="U96:U132">SUM(Q96:T96)</f>
        <v>63479</v>
      </c>
      <c r="V96" s="4">
        <v>0</v>
      </c>
      <c r="W96" s="4">
        <v>0</v>
      </c>
      <c r="X96" s="68">
        <v>0</v>
      </c>
      <c r="Y96" s="68">
        <v>0</v>
      </c>
      <c r="Z96" s="68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366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f t="shared" si="60"/>
        <v>11600</v>
      </c>
      <c r="AV96" s="232">
        <f t="shared" si="61"/>
        <v>75445</v>
      </c>
      <c r="AW96" s="278"/>
      <c r="AX96" s="362">
        <f>63479+366</f>
        <v>63845</v>
      </c>
      <c r="AY96" s="223">
        <f>63479+2784+8417+366+399</f>
        <v>75445</v>
      </c>
      <c r="AZ96" s="5">
        <f t="shared" si="62"/>
        <v>11600</v>
      </c>
      <c r="BA96" s="68"/>
      <c r="BB96" s="229"/>
      <c r="BC96" s="230"/>
      <c r="BD96" s="68"/>
      <c r="BE96" s="238"/>
    </row>
    <row r="97" spans="1:57" ht="12.75">
      <c r="A97" s="73" t="s">
        <v>1</v>
      </c>
      <c r="B97" s="67" t="s">
        <v>21</v>
      </c>
      <c r="C97" s="74" t="s">
        <v>128</v>
      </c>
      <c r="D97" s="67">
        <v>50</v>
      </c>
      <c r="E97" s="3" t="s">
        <v>23</v>
      </c>
      <c r="F97" s="4">
        <v>98163</v>
      </c>
      <c r="G97" s="4">
        <v>37400</v>
      </c>
      <c r="H97" s="26">
        <f t="shared" si="58"/>
        <v>135563</v>
      </c>
      <c r="I97" s="68">
        <v>-37400</v>
      </c>
      <c r="J97" s="72">
        <f t="shared" si="59"/>
        <v>98163</v>
      </c>
      <c r="K97" s="293"/>
      <c r="L97" s="4">
        <v>0</v>
      </c>
      <c r="M97" s="4">
        <v>-400</v>
      </c>
      <c r="N97" s="72">
        <f t="shared" si="63"/>
        <v>97763</v>
      </c>
      <c r="O97" s="4"/>
      <c r="P97" s="4">
        <f t="shared" si="64"/>
        <v>98163</v>
      </c>
      <c r="Q97" s="4">
        <f t="shared" si="65"/>
        <v>98163</v>
      </c>
      <c r="R97" s="4">
        <f t="shared" si="66"/>
        <v>-400</v>
      </c>
      <c r="S97" s="4">
        <v>0</v>
      </c>
      <c r="T97" s="4">
        <v>0</v>
      </c>
      <c r="U97" s="4">
        <f t="shared" si="67"/>
        <v>97763</v>
      </c>
      <c r="V97" s="4">
        <v>0</v>
      </c>
      <c r="W97" s="4">
        <v>0</v>
      </c>
      <c r="X97" s="68">
        <v>0</v>
      </c>
      <c r="Y97" s="68">
        <v>0</v>
      </c>
      <c r="Z97" s="68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f t="shared" si="60"/>
        <v>-1800</v>
      </c>
      <c r="AV97" s="232">
        <f t="shared" si="61"/>
        <v>95963</v>
      </c>
      <c r="AW97" s="278"/>
      <c r="AX97" s="362">
        <v>97763</v>
      </c>
      <c r="AY97" s="223">
        <f>97763-1800</f>
        <v>95963</v>
      </c>
      <c r="AZ97" s="5">
        <f t="shared" si="62"/>
        <v>-1800</v>
      </c>
      <c r="BA97" s="68"/>
      <c r="BB97" s="229"/>
      <c r="BC97" s="230"/>
      <c r="BD97" s="68"/>
      <c r="BE97" s="238"/>
    </row>
    <row r="98" spans="1:57" ht="12.75">
      <c r="A98" s="73" t="s">
        <v>1</v>
      </c>
      <c r="B98" s="67" t="s">
        <v>21</v>
      </c>
      <c r="C98" s="74" t="s">
        <v>128</v>
      </c>
      <c r="D98" s="67">
        <v>51</v>
      </c>
      <c r="E98" s="3" t="s">
        <v>133</v>
      </c>
      <c r="F98" s="4">
        <v>39172</v>
      </c>
      <c r="G98" s="4">
        <v>0</v>
      </c>
      <c r="H98" s="26">
        <f t="shared" si="58"/>
        <v>39172</v>
      </c>
      <c r="I98" s="68">
        <v>0</v>
      </c>
      <c r="J98" s="72">
        <f t="shared" si="59"/>
        <v>39172</v>
      </c>
      <c r="K98" s="293"/>
      <c r="L98" s="4">
        <v>0</v>
      </c>
      <c r="M98" s="4">
        <v>-116</v>
      </c>
      <c r="N98" s="72">
        <f t="shared" si="63"/>
        <v>39056</v>
      </c>
      <c r="O98" s="4"/>
      <c r="P98" s="4">
        <f t="shared" si="64"/>
        <v>39172</v>
      </c>
      <c r="Q98" s="4">
        <f t="shared" si="65"/>
        <v>39172</v>
      </c>
      <c r="R98" s="4">
        <f t="shared" si="66"/>
        <v>-116</v>
      </c>
      <c r="S98" s="4">
        <v>0</v>
      </c>
      <c r="T98" s="4">
        <v>0</v>
      </c>
      <c r="U98" s="4">
        <f t="shared" si="67"/>
        <v>39056</v>
      </c>
      <c r="V98" s="4">
        <v>0</v>
      </c>
      <c r="W98" s="4">
        <v>0</v>
      </c>
      <c r="X98" s="68">
        <v>0</v>
      </c>
      <c r="Y98" s="68">
        <v>0</v>
      </c>
      <c r="Z98" s="68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f t="shared" si="60"/>
        <v>10740</v>
      </c>
      <c r="AV98" s="232">
        <f t="shared" si="61"/>
        <v>49796</v>
      </c>
      <c r="AW98" s="278"/>
      <c r="AX98" s="362">
        <v>39056</v>
      </c>
      <c r="AY98" s="223">
        <f>39056+10240+500</f>
        <v>49796</v>
      </c>
      <c r="AZ98" s="5">
        <f t="shared" si="62"/>
        <v>10740</v>
      </c>
      <c r="BA98" s="68"/>
      <c r="BB98" s="229"/>
      <c r="BC98" s="230"/>
      <c r="BD98" s="68"/>
      <c r="BE98" s="238"/>
    </row>
    <row r="99" spans="1:57" ht="12.75">
      <c r="A99" s="73" t="s">
        <v>1</v>
      </c>
      <c r="B99" s="67" t="s">
        <v>21</v>
      </c>
      <c r="C99" s="74" t="s">
        <v>128</v>
      </c>
      <c r="D99" s="67">
        <v>52</v>
      </c>
      <c r="E99" s="3" t="s">
        <v>134</v>
      </c>
      <c r="F99" s="4">
        <v>36286</v>
      </c>
      <c r="G99" s="4">
        <v>-25000</v>
      </c>
      <c r="H99" s="26">
        <f t="shared" si="58"/>
        <v>11286</v>
      </c>
      <c r="I99" s="68">
        <v>0</v>
      </c>
      <c r="J99" s="72">
        <f t="shared" si="59"/>
        <v>11286</v>
      </c>
      <c r="K99" s="293"/>
      <c r="L99" s="4">
        <v>0</v>
      </c>
      <c r="M99" s="4">
        <v>-33</v>
      </c>
      <c r="N99" s="72">
        <f t="shared" si="63"/>
        <v>11253</v>
      </c>
      <c r="O99" s="4"/>
      <c r="P99" s="4">
        <f t="shared" si="64"/>
        <v>36286</v>
      </c>
      <c r="Q99" s="4">
        <f t="shared" si="65"/>
        <v>11286</v>
      </c>
      <c r="R99" s="4">
        <f t="shared" si="66"/>
        <v>-33</v>
      </c>
      <c r="S99" s="4">
        <v>0</v>
      </c>
      <c r="T99" s="4">
        <v>0</v>
      </c>
      <c r="U99" s="4">
        <f t="shared" si="67"/>
        <v>11253</v>
      </c>
      <c r="V99" s="4">
        <v>0</v>
      </c>
      <c r="W99" s="4">
        <v>0</v>
      </c>
      <c r="X99" s="68">
        <v>0</v>
      </c>
      <c r="Y99" s="68">
        <v>0</v>
      </c>
      <c r="Z99" s="68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f t="shared" si="60"/>
        <v>0</v>
      </c>
      <c r="AV99" s="232">
        <f t="shared" si="61"/>
        <v>11253</v>
      </c>
      <c r="AW99" s="278"/>
      <c r="AX99" s="362">
        <v>11253</v>
      </c>
      <c r="AY99" s="223">
        <v>11253</v>
      </c>
      <c r="AZ99" s="5">
        <f t="shared" si="62"/>
        <v>0</v>
      </c>
      <c r="BA99" s="68"/>
      <c r="BB99" s="229"/>
      <c r="BC99" s="230"/>
      <c r="BD99" s="345"/>
      <c r="BE99" s="238"/>
    </row>
    <row r="100" spans="1:57" ht="12.75">
      <c r="A100" s="73" t="s">
        <v>1</v>
      </c>
      <c r="B100" s="67" t="s">
        <v>21</v>
      </c>
      <c r="C100" s="74" t="s">
        <v>128</v>
      </c>
      <c r="D100" s="67">
        <v>53</v>
      </c>
      <c r="E100" s="3" t="s">
        <v>219</v>
      </c>
      <c r="F100" s="4">
        <v>7659</v>
      </c>
      <c r="G100" s="4">
        <v>0</v>
      </c>
      <c r="H100" s="26">
        <f t="shared" si="58"/>
        <v>7659</v>
      </c>
      <c r="I100" s="68">
        <v>0</v>
      </c>
      <c r="J100" s="72">
        <f t="shared" si="59"/>
        <v>7659</v>
      </c>
      <c r="K100" s="293"/>
      <c r="L100" s="4">
        <v>0</v>
      </c>
      <c r="M100" s="4">
        <v>-23</v>
      </c>
      <c r="N100" s="72">
        <f t="shared" si="63"/>
        <v>7636</v>
      </c>
      <c r="O100" s="4"/>
      <c r="P100" s="4">
        <f t="shared" si="64"/>
        <v>7659</v>
      </c>
      <c r="Q100" s="4">
        <f t="shared" si="65"/>
        <v>7659</v>
      </c>
      <c r="R100" s="4">
        <f t="shared" si="66"/>
        <v>-23</v>
      </c>
      <c r="S100" s="4">
        <v>0</v>
      </c>
      <c r="T100" s="4">
        <v>0</v>
      </c>
      <c r="U100" s="4">
        <f t="shared" si="67"/>
        <v>7636</v>
      </c>
      <c r="V100" s="4">
        <v>0</v>
      </c>
      <c r="W100" s="4">
        <v>0</v>
      </c>
      <c r="X100" s="68">
        <v>0</v>
      </c>
      <c r="Y100" s="68">
        <v>0</v>
      </c>
      <c r="Z100" s="68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f t="shared" si="60"/>
        <v>0</v>
      </c>
      <c r="AV100" s="232">
        <f t="shared" si="61"/>
        <v>7636</v>
      </c>
      <c r="AW100" s="278"/>
      <c r="AX100" s="362">
        <v>7636</v>
      </c>
      <c r="AY100" s="223">
        <v>7636</v>
      </c>
      <c r="AZ100" s="5">
        <f t="shared" si="62"/>
        <v>0</v>
      </c>
      <c r="BA100" s="68"/>
      <c r="BB100" s="229"/>
      <c r="BC100" s="230"/>
      <c r="BD100" s="345"/>
      <c r="BE100" s="238"/>
    </row>
    <row r="101" spans="1:57" ht="12.75">
      <c r="A101" s="73" t="s">
        <v>1</v>
      </c>
      <c r="B101" s="67" t="s">
        <v>21</v>
      </c>
      <c r="C101" s="74" t="s">
        <v>128</v>
      </c>
      <c r="D101" s="67">
        <v>55</v>
      </c>
      <c r="E101" s="3" t="s">
        <v>24</v>
      </c>
      <c r="F101" s="4">
        <v>162971</v>
      </c>
      <c r="G101" s="4">
        <v>0</v>
      </c>
      <c r="H101" s="26">
        <f t="shared" si="58"/>
        <v>162971</v>
      </c>
      <c r="I101" s="68">
        <v>0</v>
      </c>
      <c r="J101" s="72">
        <f t="shared" si="59"/>
        <v>162971</v>
      </c>
      <c r="K101" s="293"/>
      <c r="L101" s="4">
        <v>0</v>
      </c>
      <c r="M101" s="4">
        <v>-481</v>
      </c>
      <c r="N101" s="72">
        <f t="shared" si="63"/>
        <v>162490</v>
      </c>
      <c r="O101" s="4"/>
      <c r="P101" s="4">
        <f t="shared" si="64"/>
        <v>162971</v>
      </c>
      <c r="Q101" s="4">
        <f t="shared" si="65"/>
        <v>162971</v>
      </c>
      <c r="R101" s="4">
        <f t="shared" si="66"/>
        <v>-481</v>
      </c>
      <c r="S101" s="4">
        <v>0</v>
      </c>
      <c r="T101" s="4">
        <v>0</v>
      </c>
      <c r="U101" s="4">
        <f t="shared" si="67"/>
        <v>162490</v>
      </c>
      <c r="V101" s="4">
        <v>0</v>
      </c>
      <c r="W101" s="4">
        <v>0</v>
      </c>
      <c r="X101" s="68">
        <v>0</v>
      </c>
      <c r="Y101" s="68">
        <v>0</v>
      </c>
      <c r="Z101" s="68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f t="shared" si="60"/>
        <v>-7460</v>
      </c>
      <c r="AV101" s="232">
        <f>SUM(U101:AU101)</f>
        <v>155030</v>
      </c>
      <c r="AW101" s="278"/>
      <c r="AX101" s="362">
        <v>162490</v>
      </c>
      <c r="AY101" s="223">
        <f>162490-7460</f>
        <v>155030</v>
      </c>
      <c r="AZ101" s="5">
        <f t="shared" si="62"/>
        <v>-7460</v>
      </c>
      <c r="BA101" s="68"/>
      <c r="BB101" s="229"/>
      <c r="BC101" s="230"/>
      <c r="BD101" s="345"/>
      <c r="BE101" s="238"/>
    </row>
    <row r="102" spans="1:57" ht="12.75">
      <c r="A102" s="73" t="s">
        <v>1</v>
      </c>
      <c r="B102" s="67" t="s">
        <v>21</v>
      </c>
      <c r="C102" s="74" t="s">
        <v>128</v>
      </c>
      <c r="D102" s="67">
        <v>57</v>
      </c>
      <c r="E102" s="3" t="s">
        <v>25</v>
      </c>
      <c r="F102" s="4">
        <v>47018</v>
      </c>
      <c r="G102" s="4">
        <v>-13741</v>
      </c>
      <c r="H102" s="26">
        <f t="shared" si="58"/>
        <v>33277</v>
      </c>
      <c r="I102" s="68">
        <v>0</v>
      </c>
      <c r="J102" s="72">
        <f t="shared" si="59"/>
        <v>33277</v>
      </c>
      <c r="K102" s="293"/>
      <c r="L102" s="4">
        <v>0</v>
      </c>
      <c r="M102" s="4">
        <v>-98</v>
      </c>
      <c r="N102" s="72">
        <f t="shared" si="63"/>
        <v>33179</v>
      </c>
      <c r="O102" s="4"/>
      <c r="P102" s="4">
        <f t="shared" si="64"/>
        <v>47018</v>
      </c>
      <c r="Q102" s="4">
        <f t="shared" si="65"/>
        <v>33277</v>
      </c>
      <c r="R102" s="4">
        <f t="shared" si="66"/>
        <v>-98</v>
      </c>
      <c r="S102" s="4">
        <v>0</v>
      </c>
      <c r="T102" s="4">
        <v>0</v>
      </c>
      <c r="U102" s="4">
        <f t="shared" si="67"/>
        <v>33179</v>
      </c>
      <c r="V102" s="4">
        <v>0</v>
      </c>
      <c r="W102" s="4">
        <v>0</v>
      </c>
      <c r="X102" s="68">
        <v>17000</v>
      </c>
      <c r="Y102" s="68">
        <v>0</v>
      </c>
      <c r="Z102" s="68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141300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f t="shared" si="60"/>
        <v>-2361</v>
      </c>
      <c r="AV102" s="232">
        <f>SUM(U102:AU102)</f>
        <v>189118</v>
      </c>
      <c r="AW102" s="278"/>
      <c r="AX102" s="362">
        <f>50179+141300</f>
        <v>191479</v>
      </c>
      <c r="AY102" s="223">
        <f>50179-1892-500+141300+31</f>
        <v>189118</v>
      </c>
      <c r="AZ102" s="5">
        <f t="shared" si="62"/>
        <v>-2361</v>
      </c>
      <c r="BA102" s="68"/>
      <c r="BB102" s="229"/>
      <c r="BC102" s="230"/>
      <c r="BD102" s="68"/>
      <c r="BE102" s="238"/>
    </row>
    <row r="103" spans="1:57" ht="12.75">
      <c r="A103" s="73" t="s">
        <v>1</v>
      </c>
      <c r="B103" s="67" t="s">
        <v>21</v>
      </c>
      <c r="C103" s="74" t="s">
        <v>128</v>
      </c>
      <c r="D103" s="67">
        <v>58</v>
      </c>
      <c r="E103" s="3" t="s">
        <v>26</v>
      </c>
      <c r="F103" s="4">
        <v>1347</v>
      </c>
      <c r="G103" s="4">
        <v>0</v>
      </c>
      <c r="H103" s="26">
        <f t="shared" si="58"/>
        <v>1347</v>
      </c>
      <c r="I103" s="68">
        <v>0</v>
      </c>
      <c r="J103" s="72">
        <f t="shared" si="59"/>
        <v>1347</v>
      </c>
      <c r="K103" s="293"/>
      <c r="L103" s="4">
        <v>0</v>
      </c>
      <c r="M103" s="4">
        <v>-4</v>
      </c>
      <c r="N103" s="72">
        <f t="shared" si="63"/>
        <v>1343</v>
      </c>
      <c r="O103" s="4"/>
      <c r="P103" s="4">
        <f t="shared" si="64"/>
        <v>1347</v>
      </c>
      <c r="Q103" s="4">
        <f t="shared" si="65"/>
        <v>1347</v>
      </c>
      <c r="R103" s="4">
        <f t="shared" si="66"/>
        <v>-4</v>
      </c>
      <c r="S103" s="4">
        <v>0</v>
      </c>
      <c r="T103" s="4">
        <v>0</v>
      </c>
      <c r="U103" s="4">
        <f t="shared" si="67"/>
        <v>1343</v>
      </c>
      <c r="V103" s="4">
        <v>0</v>
      </c>
      <c r="W103" s="4">
        <v>0</v>
      </c>
      <c r="X103" s="68">
        <v>0</v>
      </c>
      <c r="Y103" s="68">
        <v>0</v>
      </c>
      <c r="Z103" s="68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-515</v>
      </c>
      <c r="AQ103" s="4">
        <v>0</v>
      </c>
      <c r="AR103" s="4">
        <v>0</v>
      </c>
      <c r="AS103" s="4">
        <v>0</v>
      </c>
      <c r="AT103" s="4">
        <v>0</v>
      </c>
      <c r="AU103" s="4">
        <f t="shared" si="60"/>
        <v>-268</v>
      </c>
      <c r="AV103" s="232">
        <f t="shared" si="61"/>
        <v>560</v>
      </c>
      <c r="AW103" s="278"/>
      <c r="AX103" s="362">
        <f>1343-515</f>
        <v>828</v>
      </c>
      <c r="AY103" s="223">
        <f>1343-237-31-515</f>
        <v>560</v>
      </c>
      <c r="AZ103" s="5">
        <f t="shared" si="62"/>
        <v>-268</v>
      </c>
      <c r="BA103" s="68"/>
      <c r="BB103" s="229"/>
      <c r="BC103" s="230"/>
      <c r="BD103" s="345"/>
      <c r="BE103" s="238"/>
    </row>
    <row r="104" spans="1:57" ht="12.75">
      <c r="A104" s="73" t="s">
        <v>1</v>
      </c>
      <c r="B104" s="67" t="s">
        <v>21</v>
      </c>
      <c r="C104" s="74" t="s">
        <v>128</v>
      </c>
      <c r="D104" s="67">
        <v>59</v>
      </c>
      <c r="E104" s="3" t="s">
        <v>27</v>
      </c>
      <c r="F104" s="4">
        <v>5760</v>
      </c>
      <c r="G104" s="4">
        <v>0</v>
      </c>
      <c r="H104" s="26">
        <f t="shared" si="58"/>
        <v>5760</v>
      </c>
      <c r="I104" s="68">
        <v>0</v>
      </c>
      <c r="J104" s="72">
        <f t="shared" si="59"/>
        <v>5760</v>
      </c>
      <c r="K104" s="293"/>
      <c r="L104" s="4">
        <v>0</v>
      </c>
      <c r="M104" s="4">
        <v>-17</v>
      </c>
      <c r="N104" s="72">
        <f t="shared" si="63"/>
        <v>5743</v>
      </c>
      <c r="O104" s="4"/>
      <c r="P104" s="4">
        <f t="shared" si="64"/>
        <v>5760</v>
      </c>
      <c r="Q104" s="4">
        <f t="shared" si="65"/>
        <v>5760</v>
      </c>
      <c r="R104" s="4">
        <f t="shared" si="66"/>
        <v>-17</v>
      </c>
      <c r="S104" s="4">
        <v>0</v>
      </c>
      <c r="T104" s="4">
        <v>0</v>
      </c>
      <c r="U104" s="4">
        <f t="shared" si="67"/>
        <v>5743</v>
      </c>
      <c r="V104" s="4">
        <v>0</v>
      </c>
      <c r="W104" s="4">
        <v>0</v>
      </c>
      <c r="X104" s="68">
        <v>0</v>
      </c>
      <c r="Y104" s="68">
        <v>0</v>
      </c>
      <c r="Z104" s="68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-5200</v>
      </c>
      <c r="AO104" s="4">
        <v>0</v>
      </c>
      <c r="AP104" s="4">
        <v>-303</v>
      </c>
      <c r="AQ104" s="4">
        <v>0</v>
      </c>
      <c r="AR104" s="4">
        <v>0</v>
      </c>
      <c r="AS104" s="4">
        <v>0</v>
      </c>
      <c r="AT104" s="4">
        <v>0</v>
      </c>
      <c r="AU104" s="4">
        <f t="shared" si="60"/>
        <v>-108</v>
      </c>
      <c r="AV104" s="232">
        <f t="shared" si="61"/>
        <v>132</v>
      </c>
      <c r="AW104" s="278"/>
      <c r="AX104" s="362">
        <f>5743-5200-303</f>
        <v>240</v>
      </c>
      <c r="AY104" s="223">
        <f>5743-5200-108-303</f>
        <v>132</v>
      </c>
      <c r="AZ104" s="5">
        <f t="shared" si="62"/>
        <v>-108</v>
      </c>
      <c r="BA104" s="68"/>
      <c r="BB104" s="229"/>
      <c r="BC104" s="230"/>
      <c r="BD104" s="68"/>
      <c r="BE104" s="238"/>
    </row>
    <row r="105" spans="1:57" ht="12.75">
      <c r="A105" s="73" t="s">
        <v>1</v>
      </c>
      <c r="B105" s="67" t="s">
        <v>21</v>
      </c>
      <c r="C105" s="74" t="s">
        <v>128</v>
      </c>
      <c r="D105" s="67">
        <v>60</v>
      </c>
      <c r="E105" s="3" t="s">
        <v>28</v>
      </c>
      <c r="F105" s="4">
        <v>7061</v>
      </c>
      <c r="G105" s="4">
        <v>0</v>
      </c>
      <c r="H105" s="26">
        <f t="shared" si="58"/>
        <v>7061</v>
      </c>
      <c r="I105" s="68">
        <v>0</v>
      </c>
      <c r="J105" s="72">
        <f t="shared" si="59"/>
        <v>7061</v>
      </c>
      <c r="K105" s="293"/>
      <c r="L105" s="4">
        <v>0</v>
      </c>
      <c r="M105" s="4">
        <v>-21</v>
      </c>
      <c r="N105" s="72">
        <f t="shared" si="63"/>
        <v>7040</v>
      </c>
      <c r="O105" s="4"/>
      <c r="P105" s="4">
        <f t="shared" si="64"/>
        <v>7061</v>
      </c>
      <c r="Q105" s="4">
        <f t="shared" si="65"/>
        <v>7061</v>
      </c>
      <c r="R105" s="4">
        <f t="shared" si="66"/>
        <v>-21</v>
      </c>
      <c r="S105" s="4">
        <v>0</v>
      </c>
      <c r="T105" s="4">
        <v>0</v>
      </c>
      <c r="U105" s="4">
        <f t="shared" si="67"/>
        <v>7040</v>
      </c>
      <c r="V105" s="4">
        <v>0</v>
      </c>
      <c r="W105" s="4">
        <v>0</v>
      </c>
      <c r="X105" s="68">
        <v>0</v>
      </c>
      <c r="Y105" s="68">
        <v>0</v>
      </c>
      <c r="Z105" s="68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303</v>
      </c>
      <c r="AQ105" s="4">
        <v>0</v>
      </c>
      <c r="AR105" s="4">
        <v>0</v>
      </c>
      <c r="AS105" s="4">
        <v>0</v>
      </c>
      <c r="AT105" s="4">
        <v>0</v>
      </c>
      <c r="AU105" s="4">
        <f t="shared" si="60"/>
        <v>108</v>
      </c>
      <c r="AV105" s="232">
        <f t="shared" si="61"/>
        <v>7451</v>
      </c>
      <c r="AW105" s="278"/>
      <c r="AX105" s="362">
        <f>7040+303</f>
        <v>7343</v>
      </c>
      <c r="AY105" s="223">
        <f>7040+108+303</f>
        <v>7451</v>
      </c>
      <c r="AZ105" s="5">
        <f t="shared" si="62"/>
        <v>108</v>
      </c>
      <c r="BA105" s="68"/>
      <c r="BB105" s="229"/>
      <c r="BC105" s="230"/>
      <c r="BD105" s="345"/>
      <c r="BE105" s="238"/>
    </row>
    <row r="106" spans="1:57" ht="12.75">
      <c r="A106" s="73" t="s">
        <v>1</v>
      </c>
      <c r="B106" s="67" t="s">
        <v>21</v>
      </c>
      <c r="C106" s="74" t="s">
        <v>128</v>
      </c>
      <c r="D106" s="67">
        <v>61</v>
      </c>
      <c r="E106" s="3" t="s">
        <v>135</v>
      </c>
      <c r="F106" s="4">
        <v>67083</v>
      </c>
      <c r="G106" s="4">
        <v>0</v>
      </c>
      <c r="H106" s="26">
        <f t="shared" si="58"/>
        <v>67083</v>
      </c>
      <c r="I106" s="68">
        <v>0</v>
      </c>
      <c r="J106" s="72">
        <f t="shared" si="59"/>
        <v>67083</v>
      </c>
      <c r="K106" s="293"/>
      <c r="L106" s="4">
        <v>0</v>
      </c>
      <c r="M106" s="4">
        <v>-198</v>
      </c>
      <c r="N106" s="72">
        <f t="shared" si="63"/>
        <v>66885</v>
      </c>
      <c r="O106" s="4"/>
      <c r="P106" s="4">
        <f t="shared" si="64"/>
        <v>67083</v>
      </c>
      <c r="Q106" s="4">
        <f t="shared" si="65"/>
        <v>67083</v>
      </c>
      <c r="R106" s="4">
        <f t="shared" si="66"/>
        <v>-198</v>
      </c>
      <c r="S106" s="4">
        <v>0</v>
      </c>
      <c r="T106" s="4">
        <v>0</v>
      </c>
      <c r="U106" s="4">
        <f t="shared" si="67"/>
        <v>66885</v>
      </c>
      <c r="V106" s="4">
        <v>0</v>
      </c>
      <c r="W106" s="4">
        <v>0</v>
      </c>
      <c r="X106" s="68">
        <v>43640</v>
      </c>
      <c r="Y106" s="68">
        <v>1000</v>
      </c>
      <c r="Z106" s="68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100">
        <f>SUM(AY106-AX106)</f>
        <v>-5924</v>
      </c>
      <c r="AV106" s="232">
        <f t="shared" si="61"/>
        <v>105601</v>
      </c>
      <c r="AW106" s="278"/>
      <c r="AX106" s="362">
        <f>110525+1000</f>
        <v>111525</v>
      </c>
      <c r="AY106" s="223">
        <f>103474+2127</f>
        <v>105601</v>
      </c>
      <c r="AZ106" s="5">
        <f t="shared" si="62"/>
        <v>-5924</v>
      </c>
      <c r="BA106" s="68"/>
      <c r="BB106" s="229"/>
      <c r="BC106" s="230"/>
      <c r="BD106" s="345"/>
      <c r="BE106" s="238"/>
    </row>
    <row r="107" spans="1:57" ht="12.75">
      <c r="A107" s="73" t="s">
        <v>1</v>
      </c>
      <c r="B107" s="67" t="s">
        <v>21</v>
      </c>
      <c r="C107" s="74" t="s">
        <v>128</v>
      </c>
      <c r="D107" s="67">
        <v>62</v>
      </c>
      <c r="E107" s="3" t="s">
        <v>136</v>
      </c>
      <c r="F107" s="4">
        <v>5540</v>
      </c>
      <c r="G107" s="4">
        <v>7000</v>
      </c>
      <c r="H107" s="26">
        <f t="shared" si="58"/>
        <v>12540</v>
      </c>
      <c r="I107" s="68">
        <v>0</v>
      </c>
      <c r="J107" s="72">
        <f t="shared" si="59"/>
        <v>12540</v>
      </c>
      <c r="K107" s="293"/>
      <c r="L107" s="4">
        <v>0</v>
      </c>
      <c r="M107" s="4">
        <v>-37</v>
      </c>
      <c r="N107" s="72">
        <f t="shared" si="63"/>
        <v>12503</v>
      </c>
      <c r="O107" s="4"/>
      <c r="P107" s="4">
        <f t="shared" si="64"/>
        <v>5540</v>
      </c>
      <c r="Q107" s="4">
        <f t="shared" si="65"/>
        <v>12540</v>
      </c>
      <c r="R107" s="4">
        <f t="shared" si="66"/>
        <v>-37</v>
      </c>
      <c r="S107" s="4">
        <v>0</v>
      </c>
      <c r="T107" s="4">
        <v>0</v>
      </c>
      <c r="U107" s="4">
        <f t="shared" si="67"/>
        <v>12503</v>
      </c>
      <c r="V107" s="4">
        <v>0</v>
      </c>
      <c r="W107" s="4">
        <v>0</v>
      </c>
      <c r="X107" s="68">
        <v>0</v>
      </c>
      <c r="Y107" s="68">
        <v>0</v>
      </c>
      <c r="Z107" s="68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f t="shared" si="60"/>
        <v>7051</v>
      </c>
      <c r="AV107" s="232">
        <f t="shared" si="61"/>
        <v>19554</v>
      </c>
      <c r="AW107" s="278"/>
      <c r="AX107" s="362">
        <v>12503</v>
      </c>
      <c r="AY107" s="223">
        <v>19554</v>
      </c>
      <c r="AZ107" s="5">
        <f t="shared" si="62"/>
        <v>7051</v>
      </c>
      <c r="BA107" s="68"/>
      <c r="BB107" s="229"/>
      <c r="BC107" s="230"/>
      <c r="BD107" s="345"/>
      <c r="BE107" s="238"/>
    </row>
    <row r="108" spans="1:57" ht="12.75">
      <c r="A108" s="73" t="s">
        <v>1</v>
      </c>
      <c r="B108" s="67" t="s">
        <v>21</v>
      </c>
      <c r="C108" s="74" t="s">
        <v>128</v>
      </c>
      <c r="D108" s="67">
        <v>63</v>
      </c>
      <c r="E108" s="3" t="s">
        <v>137</v>
      </c>
      <c r="F108" s="4">
        <v>67220</v>
      </c>
      <c r="G108" s="4">
        <v>6000</v>
      </c>
      <c r="H108" s="26">
        <f t="shared" si="58"/>
        <v>73220</v>
      </c>
      <c r="I108" s="68">
        <v>0</v>
      </c>
      <c r="J108" s="72">
        <f t="shared" si="59"/>
        <v>73220</v>
      </c>
      <c r="K108" s="293"/>
      <c r="L108" s="4">
        <v>0</v>
      </c>
      <c r="M108" s="4">
        <v>-216</v>
      </c>
      <c r="N108" s="72">
        <f t="shared" si="63"/>
        <v>73004</v>
      </c>
      <c r="O108" s="4"/>
      <c r="P108" s="4">
        <f t="shared" si="64"/>
        <v>67220</v>
      </c>
      <c r="Q108" s="4">
        <f t="shared" si="65"/>
        <v>73220</v>
      </c>
      <c r="R108" s="4">
        <f t="shared" si="66"/>
        <v>-216</v>
      </c>
      <c r="S108" s="4">
        <v>0</v>
      </c>
      <c r="T108" s="4">
        <v>0</v>
      </c>
      <c r="U108" s="4">
        <f t="shared" si="67"/>
        <v>73004</v>
      </c>
      <c r="V108" s="4">
        <v>0</v>
      </c>
      <c r="W108" s="4">
        <v>0</v>
      </c>
      <c r="X108" s="68">
        <v>0</v>
      </c>
      <c r="Y108" s="68">
        <v>3100</v>
      </c>
      <c r="Z108" s="68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100">
        <f>SUM(AY108-AX108)</f>
        <v>7058</v>
      </c>
      <c r="AV108" s="232">
        <f t="shared" si="61"/>
        <v>83162</v>
      </c>
      <c r="AW108" s="278"/>
      <c r="AX108" s="362">
        <f>73004+3100</f>
        <v>76104</v>
      </c>
      <c r="AY108" s="223">
        <f>73004+927-3437+12668</f>
        <v>83162</v>
      </c>
      <c r="AZ108" s="5">
        <f t="shared" si="62"/>
        <v>7058</v>
      </c>
      <c r="BA108" s="68"/>
      <c r="BB108" s="229"/>
      <c r="BC108" s="230"/>
      <c r="BD108" s="345"/>
      <c r="BE108" s="238"/>
    </row>
    <row r="109" spans="1:57" ht="12.75">
      <c r="A109" s="73" t="s">
        <v>1</v>
      </c>
      <c r="B109" s="67" t="s">
        <v>21</v>
      </c>
      <c r="C109" s="74" t="s">
        <v>128</v>
      </c>
      <c r="D109" s="67">
        <v>64</v>
      </c>
      <c r="E109" s="3" t="s">
        <v>29</v>
      </c>
      <c r="F109" s="4">
        <v>54122</v>
      </c>
      <c r="G109" s="4">
        <f>1600+400</f>
        <v>2000</v>
      </c>
      <c r="H109" s="26">
        <f t="shared" si="58"/>
        <v>56122</v>
      </c>
      <c r="I109" s="68">
        <v>0</v>
      </c>
      <c r="J109" s="72">
        <f t="shared" si="59"/>
        <v>56122</v>
      </c>
      <c r="K109" s="293"/>
      <c r="L109" s="4">
        <v>0</v>
      </c>
      <c r="M109" s="4">
        <v>-165</v>
      </c>
      <c r="N109" s="72">
        <f t="shared" si="63"/>
        <v>55957</v>
      </c>
      <c r="O109" s="4"/>
      <c r="P109" s="4">
        <f t="shared" si="64"/>
        <v>54122</v>
      </c>
      <c r="Q109" s="4">
        <f t="shared" si="65"/>
        <v>56122</v>
      </c>
      <c r="R109" s="4">
        <f t="shared" si="66"/>
        <v>-165</v>
      </c>
      <c r="S109" s="4">
        <v>0</v>
      </c>
      <c r="T109" s="4">
        <v>0</v>
      </c>
      <c r="U109" s="4">
        <f t="shared" si="67"/>
        <v>55957</v>
      </c>
      <c r="V109" s="4">
        <v>0</v>
      </c>
      <c r="W109" s="4">
        <v>0</v>
      </c>
      <c r="X109" s="68">
        <v>0</v>
      </c>
      <c r="Y109" s="68">
        <v>8100</v>
      </c>
      <c r="Z109" s="68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360</v>
      </c>
      <c r="AQ109" s="4">
        <v>0</v>
      </c>
      <c r="AR109" s="4">
        <v>0</v>
      </c>
      <c r="AS109" s="4">
        <v>0</v>
      </c>
      <c r="AT109" s="4">
        <v>0</v>
      </c>
      <c r="AU109" s="100">
        <f>SUM(AY109-AX109)</f>
        <v>2391</v>
      </c>
      <c r="AV109" s="232">
        <f t="shared" si="61"/>
        <v>66808</v>
      </c>
      <c r="AW109" s="278"/>
      <c r="AX109" s="362">
        <f>55957+8100+360</f>
        <v>64417</v>
      </c>
      <c r="AY109" s="223">
        <f>55957+980+162+9349+360</f>
        <v>66808</v>
      </c>
      <c r="AZ109" s="5">
        <f t="shared" si="62"/>
        <v>2391</v>
      </c>
      <c r="BA109" s="68"/>
      <c r="BB109" s="229"/>
      <c r="BC109" s="230"/>
      <c r="BD109" s="345"/>
      <c r="BE109" s="238"/>
    </row>
    <row r="110" spans="1:57" ht="12.75">
      <c r="A110" s="73" t="s">
        <v>1</v>
      </c>
      <c r="B110" s="67" t="s">
        <v>21</v>
      </c>
      <c r="C110" s="74" t="s">
        <v>128</v>
      </c>
      <c r="D110" s="67">
        <v>65</v>
      </c>
      <c r="E110" s="3" t="s">
        <v>31</v>
      </c>
      <c r="F110" s="4">
        <v>15689</v>
      </c>
      <c r="G110" s="4">
        <f>1200+3600+3000</f>
        <v>7800</v>
      </c>
      <c r="H110" s="26">
        <f t="shared" si="58"/>
        <v>23489</v>
      </c>
      <c r="I110" s="68">
        <v>0</v>
      </c>
      <c r="J110" s="72">
        <f t="shared" si="59"/>
        <v>23489</v>
      </c>
      <c r="K110" s="293"/>
      <c r="L110" s="4">
        <v>0</v>
      </c>
      <c r="M110" s="4">
        <v>-69</v>
      </c>
      <c r="N110" s="72">
        <f t="shared" si="63"/>
        <v>23420</v>
      </c>
      <c r="O110" s="4"/>
      <c r="P110" s="4">
        <f t="shared" si="64"/>
        <v>15689</v>
      </c>
      <c r="Q110" s="4">
        <f t="shared" si="65"/>
        <v>23489</v>
      </c>
      <c r="R110" s="4">
        <f t="shared" si="66"/>
        <v>-69</v>
      </c>
      <c r="S110" s="4">
        <v>0</v>
      </c>
      <c r="T110" s="4">
        <v>0</v>
      </c>
      <c r="U110" s="4">
        <f t="shared" si="67"/>
        <v>23420</v>
      </c>
      <c r="V110" s="4">
        <v>0</v>
      </c>
      <c r="W110" s="4">
        <v>0</v>
      </c>
      <c r="X110" s="68">
        <v>16250</v>
      </c>
      <c r="Y110" s="68">
        <v>0</v>
      </c>
      <c r="Z110" s="68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f t="shared" si="60"/>
        <v>-103</v>
      </c>
      <c r="AV110" s="100">
        <f>SUM(U110:AU110)</f>
        <v>39567</v>
      </c>
      <c r="AW110" s="278"/>
      <c r="AX110" s="362">
        <v>23420</v>
      </c>
      <c r="AY110" s="223">
        <f>23420+971-1074</f>
        <v>23317</v>
      </c>
      <c r="AZ110" s="5">
        <f t="shared" si="62"/>
        <v>-103</v>
      </c>
      <c r="BA110" s="68"/>
      <c r="BB110" s="229"/>
      <c r="BC110" s="230"/>
      <c r="BD110" s="345"/>
      <c r="BE110" s="238"/>
    </row>
    <row r="111" spans="1:57" ht="12.75">
      <c r="A111" s="73" t="s">
        <v>1</v>
      </c>
      <c r="B111" s="67" t="s">
        <v>21</v>
      </c>
      <c r="C111" s="74" t="s">
        <v>128</v>
      </c>
      <c r="D111" s="67">
        <v>67</v>
      </c>
      <c r="E111" s="3" t="s">
        <v>32</v>
      </c>
      <c r="F111" s="4">
        <v>1265</v>
      </c>
      <c r="G111" s="4">
        <v>0</v>
      </c>
      <c r="H111" s="26">
        <f t="shared" si="58"/>
        <v>1265</v>
      </c>
      <c r="I111" s="68">
        <v>0</v>
      </c>
      <c r="J111" s="72">
        <f t="shared" si="59"/>
        <v>1265</v>
      </c>
      <c r="K111" s="293"/>
      <c r="L111" s="4">
        <v>0</v>
      </c>
      <c r="M111" s="4">
        <v>-4</v>
      </c>
      <c r="N111" s="72">
        <f t="shared" si="63"/>
        <v>1261</v>
      </c>
      <c r="O111" s="4"/>
      <c r="P111" s="4">
        <f t="shared" si="64"/>
        <v>1265</v>
      </c>
      <c r="Q111" s="4">
        <f t="shared" si="65"/>
        <v>1265</v>
      </c>
      <c r="R111" s="4">
        <f t="shared" si="66"/>
        <v>-4</v>
      </c>
      <c r="S111" s="4">
        <v>0</v>
      </c>
      <c r="T111" s="4">
        <v>0</v>
      </c>
      <c r="U111" s="4">
        <f t="shared" si="67"/>
        <v>1261</v>
      </c>
      <c r="V111" s="4">
        <v>0</v>
      </c>
      <c r="W111" s="4">
        <v>0</v>
      </c>
      <c r="X111" s="68">
        <v>0</v>
      </c>
      <c r="Y111" s="68">
        <v>0</v>
      </c>
      <c r="Z111" s="68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f t="shared" si="60"/>
        <v>0</v>
      </c>
      <c r="AV111" s="232">
        <f t="shared" si="61"/>
        <v>1261</v>
      </c>
      <c r="AW111" s="278"/>
      <c r="AX111" s="362">
        <v>1261</v>
      </c>
      <c r="AY111" s="223">
        <v>1261</v>
      </c>
      <c r="AZ111" s="5">
        <f t="shared" si="62"/>
        <v>0</v>
      </c>
      <c r="BA111" s="68"/>
      <c r="BB111" s="229"/>
      <c r="BC111" s="230"/>
      <c r="BD111" s="68"/>
      <c r="BE111" s="238"/>
    </row>
    <row r="112" spans="1:57" ht="12.75">
      <c r="A112" s="73" t="s">
        <v>1</v>
      </c>
      <c r="B112" s="67" t="s">
        <v>21</v>
      </c>
      <c r="C112" s="74" t="s">
        <v>128</v>
      </c>
      <c r="D112" s="67">
        <v>68</v>
      </c>
      <c r="E112" s="3" t="s">
        <v>138</v>
      </c>
      <c r="F112" s="4">
        <v>12484</v>
      </c>
      <c r="G112" s="4">
        <v>0</v>
      </c>
      <c r="H112" s="26">
        <f t="shared" si="58"/>
        <v>12484</v>
      </c>
      <c r="I112" s="68">
        <v>0</v>
      </c>
      <c r="J112" s="72">
        <f t="shared" si="59"/>
        <v>12484</v>
      </c>
      <c r="K112" s="293"/>
      <c r="L112" s="4">
        <v>0</v>
      </c>
      <c r="M112" s="4">
        <v>-37</v>
      </c>
      <c r="N112" s="72">
        <f t="shared" si="63"/>
        <v>12447</v>
      </c>
      <c r="O112" s="4"/>
      <c r="P112" s="4">
        <f t="shared" si="64"/>
        <v>12484</v>
      </c>
      <c r="Q112" s="4">
        <f t="shared" si="65"/>
        <v>12484</v>
      </c>
      <c r="R112" s="4">
        <f t="shared" si="66"/>
        <v>-37</v>
      </c>
      <c r="S112" s="4">
        <v>0</v>
      </c>
      <c r="T112" s="4">
        <v>0</v>
      </c>
      <c r="U112" s="4">
        <f t="shared" si="67"/>
        <v>12447</v>
      </c>
      <c r="V112" s="4">
        <v>0</v>
      </c>
      <c r="W112" s="4">
        <v>0</v>
      </c>
      <c r="X112" s="68">
        <v>0</v>
      </c>
      <c r="Y112" s="68">
        <v>0</v>
      </c>
      <c r="Z112" s="68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f t="shared" si="60"/>
        <v>0</v>
      </c>
      <c r="AV112" s="232">
        <f t="shared" si="61"/>
        <v>12447</v>
      </c>
      <c r="AW112" s="278"/>
      <c r="AX112" s="362">
        <v>12447</v>
      </c>
      <c r="AY112" s="223">
        <v>12447</v>
      </c>
      <c r="AZ112" s="5">
        <f t="shared" si="62"/>
        <v>0</v>
      </c>
      <c r="BA112" s="68"/>
      <c r="BB112" s="229"/>
      <c r="BC112" s="230"/>
      <c r="BD112" s="68"/>
      <c r="BE112" s="238"/>
    </row>
    <row r="113" spans="1:57" ht="12.75">
      <c r="A113" s="73" t="s">
        <v>1</v>
      </c>
      <c r="B113" s="67" t="s">
        <v>21</v>
      </c>
      <c r="C113" s="74" t="s">
        <v>128</v>
      </c>
      <c r="D113" s="67">
        <v>69</v>
      </c>
      <c r="E113" s="3" t="s">
        <v>33</v>
      </c>
      <c r="F113" s="4">
        <v>18795</v>
      </c>
      <c r="G113" s="4">
        <v>2880</v>
      </c>
      <c r="H113" s="26">
        <f t="shared" si="58"/>
        <v>21675</v>
      </c>
      <c r="I113" s="68">
        <v>0</v>
      </c>
      <c r="J113" s="72">
        <f t="shared" si="59"/>
        <v>21675</v>
      </c>
      <c r="K113" s="293"/>
      <c r="L113" s="4">
        <v>0</v>
      </c>
      <c r="M113" s="4">
        <v>-64</v>
      </c>
      <c r="N113" s="72">
        <f t="shared" si="63"/>
        <v>21611</v>
      </c>
      <c r="O113" s="4"/>
      <c r="P113" s="4">
        <f t="shared" si="64"/>
        <v>18795</v>
      </c>
      <c r="Q113" s="4">
        <f t="shared" si="65"/>
        <v>21675</v>
      </c>
      <c r="R113" s="4">
        <f t="shared" si="66"/>
        <v>-64</v>
      </c>
      <c r="S113" s="4">
        <v>0</v>
      </c>
      <c r="T113" s="4">
        <v>0</v>
      </c>
      <c r="U113" s="4">
        <f t="shared" si="67"/>
        <v>21611</v>
      </c>
      <c r="V113" s="4">
        <v>0</v>
      </c>
      <c r="W113" s="4">
        <v>0</v>
      </c>
      <c r="X113" s="68">
        <v>0</v>
      </c>
      <c r="Y113" s="68">
        <v>0</v>
      </c>
      <c r="Z113" s="68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4">
        <v>0</v>
      </c>
      <c r="AU113" s="4">
        <f t="shared" si="60"/>
        <v>-503</v>
      </c>
      <c r="AV113" s="232">
        <f t="shared" si="61"/>
        <v>21108</v>
      </c>
      <c r="AW113" s="278"/>
      <c r="AX113" s="362">
        <v>21611</v>
      </c>
      <c r="AY113" s="223">
        <f>21611-495-8</f>
        <v>21108</v>
      </c>
      <c r="AZ113" s="5">
        <f t="shared" si="62"/>
        <v>-503</v>
      </c>
      <c r="BA113" s="68"/>
      <c r="BB113" s="229"/>
      <c r="BC113" s="230"/>
      <c r="BD113" s="68"/>
      <c r="BE113" s="238"/>
    </row>
    <row r="114" spans="1:57" ht="12.75">
      <c r="A114" s="73" t="s">
        <v>1</v>
      </c>
      <c r="B114" s="67" t="s">
        <v>21</v>
      </c>
      <c r="C114" s="74" t="s">
        <v>128</v>
      </c>
      <c r="D114" s="67">
        <v>70</v>
      </c>
      <c r="E114" s="3" t="s">
        <v>34</v>
      </c>
      <c r="F114" s="4">
        <v>3272</v>
      </c>
      <c r="G114" s="4">
        <v>0</v>
      </c>
      <c r="H114" s="26">
        <f t="shared" si="58"/>
        <v>3272</v>
      </c>
      <c r="I114" s="68">
        <v>0</v>
      </c>
      <c r="J114" s="72">
        <f t="shared" si="59"/>
        <v>3272</v>
      </c>
      <c r="K114" s="293"/>
      <c r="L114" s="4">
        <v>0</v>
      </c>
      <c r="M114" s="4">
        <v>-10</v>
      </c>
      <c r="N114" s="72">
        <f t="shared" si="63"/>
        <v>3262</v>
      </c>
      <c r="O114" s="4"/>
      <c r="P114" s="4">
        <f t="shared" si="64"/>
        <v>3272</v>
      </c>
      <c r="Q114" s="4">
        <f t="shared" si="65"/>
        <v>3272</v>
      </c>
      <c r="R114" s="4">
        <f t="shared" si="66"/>
        <v>-10</v>
      </c>
      <c r="S114" s="4">
        <v>0</v>
      </c>
      <c r="T114" s="4">
        <v>0</v>
      </c>
      <c r="U114" s="4">
        <f t="shared" si="67"/>
        <v>3262</v>
      </c>
      <c r="V114" s="4">
        <v>0</v>
      </c>
      <c r="W114" s="4">
        <v>0</v>
      </c>
      <c r="X114" s="68">
        <v>0</v>
      </c>
      <c r="Y114" s="68">
        <v>0</v>
      </c>
      <c r="Z114" s="68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f t="shared" si="60"/>
        <v>-651</v>
      </c>
      <c r="AV114" s="232">
        <f t="shared" si="61"/>
        <v>2611</v>
      </c>
      <c r="AW114" s="278"/>
      <c r="AX114" s="362">
        <v>3262</v>
      </c>
      <c r="AY114" s="223">
        <f>3262-651</f>
        <v>2611</v>
      </c>
      <c r="AZ114" s="5">
        <f t="shared" si="62"/>
        <v>-651</v>
      </c>
      <c r="BA114" s="68"/>
      <c r="BB114" s="229"/>
      <c r="BC114" s="230"/>
      <c r="BD114" s="68"/>
      <c r="BE114" s="238"/>
    </row>
    <row r="115" spans="1:60" ht="12.75">
      <c r="A115" s="73" t="s">
        <v>1</v>
      </c>
      <c r="B115" s="67" t="s">
        <v>21</v>
      </c>
      <c r="C115" s="74" t="s">
        <v>128</v>
      </c>
      <c r="D115" s="67">
        <v>72</v>
      </c>
      <c r="E115" s="3" t="s">
        <v>35</v>
      </c>
      <c r="F115" s="4">
        <v>3702</v>
      </c>
      <c r="G115" s="4">
        <v>0</v>
      </c>
      <c r="H115" s="26">
        <f t="shared" si="58"/>
        <v>3702</v>
      </c>
      <c r="I115" s="68">
        <v>0</v>
      </c>
      <c r="J115" s="72">
        <f t="shared" si="59"/>
        <v>3702</v>
      </c>
      <c r="K115" s="293"/>
      <c r="L115" s="4">
        <v>0</v>
      </c>
      <c r="M115" s="4">
        <v>-11</v>
      </c>
      <c r="N115" s="72">
        <f t="shared" si="63"/>
        <v>3691</v>
      </c>
      <c r="O115" s="4"/>
      <c r="P115" s="4">
        <f t="shared" si="64"/>
        <v>3702</v>
      </c>
      <c r="Q115" s="4">
        <f t="shared" si="65"/>
        <v>3702</v>
      </c>
      <c r="R115" s="4">
        <f t="shared" si="66"/>
        <v>-11</v>
      </c>
      <c r="S115" s="4">
        <v>0</v>
      </c>
      <c r="T115" s="4">
        <v>0</v>
      </c>
      <c r="U115" s="4">
        <f t="shared" si="67"/>
        <v>3691</v>
      </c>
      <c r="V115" s="4">
        <v>0</v>
      </c>
      <c r="W115" s="4">
        <v>0</v>
      </c>
      <c r="X115" s="68">
        <v>0</v>
      </c>
      <c r="Y115" s="68">
        <v>0</v>
      </c>
      <c r="Z115" s="68">
        <v>-6400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142000</v>
      </c>
      <c r="AI115" s="4">
        <v>0</v>
      </c>
      <c r="AJ115" s="4">
        <v>0</v>
      </c>
      <c r="AK115" s="4">
        <v>0</v>
      </c>
      <c r="AL115" s="4">
        <v>17000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f>SUM(AY115-AX115)</f>
        <v>900</v>
      </c>
      <c r="AV115" s="100">
        <f>SUM(U115:AU115)</f>
        <v>157191</v>
      </c>
      <c r="AW115" s="278"/>
      <c r="AX115" s="362">
        <f>3691+142000+17000</f>
        <v>162691</v>
      </c>
      <c r="AY115" s="223">
        <f>3691+900+159000</f>
        <v>163591</v>
      </c>
      <c r="AZ115" s="5">
        <f t="shared" si="62"/>
        <v>900</v>
      </c>
      <c r="BA115" s="68"/>
      <c r="BB115" s="229"/>
      <c r="BC115" s="230"/>
      <c r="BD115" s="68"/>
      <c r="BE115" s="238"/>
      <c r="BF115" s="238"/>
      <c r="BG115" s="238"/>
      <c r="BH115" s="238"/>
    </row>
    <row r="116" spans="1:57" ht="12.75">
      <c r="A116" s="73" t="s">
        <v>1</v>
      </c>
      <c r="B116" s="67" t="s">
        <v>21</v>
      </c>
      <c r="C116" s="74" t="s">
        <v>128</v>
      </c>
      <c r="D116" s="67">
        <v>73</v>
      </c>
      <c r="E116" s="3" t="s">
        <v>139</v>
      </c>
      <c r="F116" s="4">
        <v>34151</v>
      </c>
      <c r="G116" s="4">
        <v>2000</v>
      </c>
      <c r="H116" s="26">
        <f t="shared" si="58"/>
        <v>36151</v>
      </c>
      <c r="I116" s="68">
        <v>0</v>
      </c>
      <c r="J116" s="72">
        <f t="shared" si="59"/>
        <v>36151</v>
      </c>
      <c r="K116" s="293"/>
      <c r="L116" s="4">
        <v>0</v>
      </c>
      <c r="M116" s="4">
        <v>-107</v>
      </c>
      <c r="N116" s="72">
        <f t="shared" si="63"/>
        <v>36044</v>
      </c>
      <c r="O116" s="4"/>
      <c r="P116" s="4">
        <f t="shared" si="64"/>
        <v>34151</v>
      </c>
      <c r="Q116" s="4">
        <f t="shared" si="65"/>
        <v>36151</v>
      </c>
      <c r="R116" s="4">
        <f t="shared" si="66"/>
        <v>-107</v>
      </c>
      <c r="S116" s="4">
        <v>0</v>
      </c>
      <c r="T116" s="4">
        <v>0</v>
      </c>
      <c r="U116" s="4">
        <f t="shared" si="67"/>
        <v>36044</v>
      </c>
      <c r="V116" s="4">
        <v>0</v>
      </c>
      <c r="W116" s="4">
        <v>0</v>
      </c>
      <c r="X116" s="68">
        <v>0</v>
      </c>
      <c r="Y116" s="68">
        <v>0</v>
      </c>
      <c r="Z116" s="68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155</v>
      </c>
      <c r="AQ116" s="4">
        <v>0</v>
      </c>
      <c r="AR116" s="4">
        <v>0</v>
      </c>
      <c r="AS116" s="4">
        <v>0</v>
      </c>
      <c r="AT116" s="4">
        <v>0</v>
      </c>
      <c r="AU116" s="4">
        <f t="shared" si="60"/>
        <v>0</v>
      </c>
      <c r="AV116" s="232">
        <f t="shared" si="61"/>
        <v>36199</v>
      </c>
      <c r="AW116" s="278"/>
      <c r="AX116" s="362">
        <f>36044+155</f>
        <v>36199</v>
      </c>
      <c r="AY116" s="223">
        <f>36044+155</f>
        <v>36199</v>
      </c>
      <c r="AZ116" s="5">
        <f t="shared" si="62"/>
        <v>0</v>
      </c>
      <c r="BA116" s="68"/>
      <c r="BB116" s="229"/>
      <c r="BC116" s="230"/>
      <c r="BD116" s="68"/>
      <c r="BE116" s="238"/>
    </row>
    <row r="117" spans="1:57" ht="12.75">
      <c r="A117" s="73" t="s">
        <v>1</v>
      </c>
      <c r="B117" s="67" t="s">
        <v>21</v>
      </c>
      <c r="C117" s="74" t="s">
        <v>128</v>
      </c>
      <c r="D117" s="67">
        <v>74</v>
      </c>
      <c r="E117" s="3" t="s">
        <v>140</v>
      </c>
      <c r="F117" s="4">
        <v>21593</v>
      </c>
      <c r="G117" s="4">
        <v>-1593</v>
      </c>
      <c r="H117" s="26">
        <f t="shared" si="58"/>
        <v>20000</v>
      </c>
      <c r="I117" s="68">
        <v>0</v>
      </c>
      <c r="J117" s="72">
        <f t="shared" si="59"/>
        <v>20000</v>
      </c>
      <c r="K117" s="293"/>
      <c r="L117" s="4">
        <v>0</v>
      </c>
      <c r="M117" s="4">
        <v>-59</v>
      </c>
      <c r="N117" s="72">
        <f t="shared" si="63"/>
        <v>19941</v>
      </c>
      <c r="O117" s="4"/>
      <c r="P117" s="4">
        <f t="shared" si="64"/>
        <v>21593</v>
      </c>
      <c r="Q117" s="4">
        <f t="shared" si="65"/>
        <v>20000</v>
      </c>
      <c r="R117" s="4">
        <f t="shared" si="66"/>
        <v>-59</v>
      </c>
      <c r="S117" s="4">
        <v>0</v>
      </c>
      <c r="T117" s="4">
        <v>0</v>
      </c>
      <c r="U117" s="4">
        <f t="shared" si="67"/>
        <v>19941</v>
      </c>
      <c r="V117" s="4">
        <v>0</v>
      </c>
      <c r="W117" s="4">
        <v>0</v>
      </c>
      <c r="X117" s="68">
        <v>0</v>
      </c>
      <c r="Y117" s="68">
        <v>0</v>
      </c>
      <c r="Z117" s="68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4">
        <v>0</v>
      </c>
      <c r="AU117" s="4">
        <f t="shared" si="60"/>
        <v>1059</v>
      </c>
      <c r="AV117" s="232">
        <f t="shared" si="61"/>
        <v>21000</v>
      </c>
      <c r="AW117" s="278"/>
      <c r="AX117" s="362">
        <v>19941</v>
      </c>
      <c r="AY117" s="223">
        <f>19941+1059</f>
        <v>21000</v>
      </c>
      <c r="AZ117" s="5">
        <f t="shared" si="62"/>
        <v>1059</v>
      </c>
      <c r="BA117" s="68"/>
      <c r="BB117" s="229"/>
      <c r="BC117" s="230"/>
      <c r="BD117" s="68"/>
      <c r="BE117" s="238"/>
    </row>
    <row r="118" spans="1:57" ht="12.75">
      <c r="A118" s="73" t="s">
        <v>1</v>
      </c>
      <c r="B118" s="67" t="s">
        <v>21</v>
      </c>
      <c r="C118" s="74" t="s">
        <v>128</v>
      </c>
      <c r="D118" s="67">
        <v>75</v>
      </c>
      <c r="E118" s="3" t="s">
        <v>36</v>
      </c>
      <c r="F118" s="4">
        <v>11722</v>
      </c>
      <c r="G118" s="4">
        <v>0</v>
      </c>
      <c r="H118" s="26">
        <f t="shared" si="58"/>
        <v>11722</v>
      </c>
      <c r="I118" s="68">
        <v>0</v>
      </c>
      <c r="J118" s="72">
        <f t="shared" si="59"/>
        <v>11722</v>
      </c>
      <c r="K118" s="293"/>
      <c r="L118" s="4">
        <v>0</v>
      </c>
      <c r="M118" s="4">
        <v>-35</v>
      </c>
      <c r="N118" s="72">
        <f t="shared" si="63"/>
        <v>11687</v>
      </c>
      <c r="O118" s="4"/>
      <c r="P118" s="4">
        <f t="shared" si="64"/>
        <v>11722</v>
      </c>
      <c r="Q118" s="4">
        <f t="shared" si="65"/>
        <v>11722</v>
      </c>
      <c r="R118" s="4">
        <f t="shared" si="66"/>
        <v>-35</v>
      </c>
      <c r="S118" s="4">
        <v>0</v>
      </c>
      <c r="T118" s="4">
        <v>0</v>
      </c>
      <c r="U118" s="4">
        <f t="shared" si="67"/>
        <v>11687</v>
      </c>
      <c r="V118" s="4">
        <v>0</v>
      </c>
      <c r="W118" s="4">
        <v>0</v>
      </c>
      <c r="X118" s="68">
        <v>0</v>
      </c>
      <c r="Y118" s="68">
        <v>0</v>
      </c>
      <c r="Z118" s="68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f t="shared" si="60"/>
        <v>-2337</v>
      </c>
      <c r="AV118" s="232">
        <f t="shared" si="61"/>
        <v>9350</v>
      </c>
      <c r="AW118" s="278"/>
      <c r="AX118" s="362">
        <v>11687</v>
      </c>
      <c r="AY118" s="223">
        <v>9350</v>
      </c>
      <c r="AZ118" s="5">
        <f t="shared" si="62"/>
        <v>-2337</v>
      </c>
      <c r="BA118" s="68"/>
      <c r="BB118" s="229"/>
      <c r="BC118" s="230"/>
      <c r="BD118" s="68"/>
      <c r="BE118" s="238"/>
    </row>
    <row r="119" spans="1:57" ht="12.75">
      <c r="A119" s="73" t="s">
        <v>1</v>
      </c>
      <c r="B119" s="67" t="s">
        <v>21</v>
      </c>
      <c r="C119" s="74" t="s">
        <v>128</v>
      </c>
      <c r="D119" s="67">
        <v>76</v>
      </c>
      <c r="E119" s="3" t="s">
        <v>37</v>
      </c>
      <c r="F119" s="4">
        <v>27194</v>
      </c>
      <c r="G119" s="4">
        <f>13000+20000-4633</f>
        <v>28367</v>
      </c>
      <c r="H119" s="26">
        <f t="shared" si="58"/>
        <v>55561</v>
      </c>
      <c r="I119" s="68">
        <v>0</v>
      </c>
      <c r="J119" s="72">
        <f t="shared" si="59"/>
        <v>55561</v>
      </c>
      <c r="K119" s="293"/>
      <c r="L119" s="4">
        <v>0</v>
      </c>
      <c r="M119" s="4">
        <v>-164</v>
      </c>
      <c r="N119" s="72">
        <f t="shared" si="63"/>
        <v>55397</v>
      </c>
      <c r="O119" s="4"/>
      <c r="P119" s="4">
        <f t="shared" si="64"/>
        <v>27194</v>
      </c>
      <c r="Q119" s="4">
        <f t="shared" si="65"/>
        <v>55561</v>
      </c>
      <c r="R119" s="4">
        <f t="shared" si="66"/>
        <v>-164</v>
      </c>
      <c r="S119" s="4">
        <v>0</v>
      </c>
      <c r="T119" s="4">
        <v>0</v>
      </c>
      <c r="U119" s="4">
        <f t="shared" si="67"/>
        <v>55397</v>
      </c>
      <c r="V119" s="4">
        <v>0</v>
      </c>
      <c r="W119" s="4">
        <v>0</v>
      </c>
      <c r="X119" s="68">
        <v>0</v>
      </c>
      <c r="Y119" s="68">
        <v>0</v>
      </c>
      <c r="Z119" s="68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100">
        <f>SUM(AY119-AX119)-6400+6400</f>
        <v>0</v>
      </c>
      <c r="AV119" s="100">
        <f>SUM(U119:AU119)</f>
        <v>55397</v>
      </c>
      <c r="AW119" s="278"/>
      <c r="AX119" s="363">
        <f>55397-6400</f>
        <v>48997</v>
      </c>
      <c r="AY119" s="223">
        <f>55397-6400</f>
        <v>48997</v>
      </c>
      <c r="AZ119" s="5">
        <f t="shared" si="62"/>
        <v>0</v>
      </c>
      <c r="BA119" s="68"/>
      <c r="BB119" s="229"/>
      <c r="BC119" s="230"/>
      <c r="BD119" s="345"/>
      <c r="BE119" s="238"/>
    </row>
    <row r="120" spans="1:57" ht="12.75">
      <c r="A120" s="73" t="s">
        <v>1</v>
      </c>
      <c r="B120" s="67" t="s">
        <v>21</v>
      </c>
      <c r="C120" s="74" t="s">
        <v>128</v>
      </c>
      <c r="D120" s="67">
        <v>78</v>
      </c>
      <c r="E120" s="3" t="s">
        <v>220</v>
      </c>
      <c r="F120" s="4">
        <v>55248</v>
      </c>
      <c r="G120" s="4">
        <v>0</v>
      </c>
      <c r="H120" s="26">
        <f t="shared" si="58"/>
        <v>55248</v>
      </c>
      <c r="I120" s="68">
        <v>0</v>
      </c>
      <c r="J120" s="72">
        <f t="shared" si="59"/>
        <v>55248</v>
      </c>
      <c r="K120" s="293"/>
      <c r="L120" s="4">
        <v>0</v>
      </c>
      <c r="M120" s="4">
        <v>-163</v>
      </c>
      <c r="N120" s="72">
        <f t="shared" si="63"/>
        <v>55085</v>
      </c>
      <c r="O120" s="4"/>
      <c r="P120" s="4">
        <f t="shared" si="64"/>
        <v>55248</v>
      </c>
      <c r="Q120" s="4">
        <f t="shared" si="65"/>
        <v>55248</v>
      </c>
      <c r="R120" s="4">
        <f t="shared" si="66"/>
        <v>-163</v>
      </c>
      <c r="S120" s="4">
        <v>0</v>
      </c>
      <c r="T120" s="4">
        <v>0</v>
      </c>
      <c r="U120" s="4">
        <f t="shared" si="67"/>
        <v>55085</v>
      </c>
      <c r="V120" s="4">
        <v>0</v>
      </c>
      <c r="W120" s="4">
        <v>0</v>
      </c>
      <c r="X120" s="68">
        <v>0</v>
      </c>
      <c r="Y120" s="68">
        <v>0</v>
      </c>
      <c r="Z120" s="68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f>SUM(AY120-AX120)</f>
        <v>551</v>
      </c>
      <c r="AV120" s="232">
        <f t="shared" si="61"/>
        <v>55636</v>
      </c>
      <c r="AW120" s="278"/>
      <c r="AX120" s="362">
        <f>55085</f>
        <v>55085</v>
      </c>
      <c r="AY120" s="223">
        <f>55085+7+880-599+263</f>
        <v>55636</v>
      </c>
      <c r="AZ120" s="5">
        <f t="shared" si="62"/>
        <v>551</v>
      </c>
      <c r="BA120" s="68"/>
      <c r="BB120" s="229"/>
      <c r="BC120" s="230"/>
      <c r="BD120" s="68"/>
      <c r="BE120" s="238"/>
    </row>
    <row r="121" spans="1:57" ht="12.75">
      <c r="A121" s="73" t="s">
        <v>1</v>
      </c>
      <c r="B121" s="67" t="s">
        <v>21</v>
      </c>
      <c r="C121" s="74" t="s">
        <v>128</v>
      </c>
      <c r="D121" s="67">
        <v>79</v>
      </c>
      <c r="E121" s="117" t="s">
        <v>221</v>
      </c>
      <c r="F121" s="4">
        <v>15862</v>
      </c>
      <c r="G121" s="4">
        <v>0</v>
      </c>
      <c r="H121" s="26">
        <f t="shared" si="58"/>
        <v>15862</v>
      </c>
      <c r="I121" s="68">
        <v>0</v>
      </c>
      <c r="J121" s="72">
        <f t="shared" si="59"/>
        <v>15862</v>
      </c>
      <c r="K121" s="293"/>
      <c r="L121" s="4">
        <v>0</v>
      </c>
      <c r="M121" s="4">
        <v>-47</v>
      </c>
      <c r="N121" s="72">
        <f t="shared" si="63"/>
        <v>15815</v>
      </c>
      <c r="O121" s="4"/>
      <c r="P121" s="68">
        <f t="shared" si="64"/>
        <v>15862</v>
      </c>
      <c r="Q121" s="4">
        <f t="shared" si="65"/>
        <v>15862</v>
      </c>
      <c r="R121" s="4">
        <f t="shared" si="66"/>
        <v>-47</v>
      </c>
      <c r="S121" s="4">
        <v>0</v>
      </c>
      <c r="T121" s="4">
        <v>0</v>
      </c>
      <c r="U121" s="4">
        <f t="shared" si="67"/>
        <v>15815</v>
      </c>
      <c r="V121" s="4">
        <v>0</v>
      </c>
      <c r="W121" s="4">
        <v>0</v>
      </c>
      <c r="X121" s="68">
        <v>0</v>
      </c>
      <c r="Y121" s="68">
        <v>0</v>
      </c>
      <c r="Z121" s="68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f t="shared" si="60"/>
        <v>-830</v>
      </c>
      <c r="AV121" s="232">
        <f t="shared" si="61"/>
        <v>14985</v>
      </c>
      <c r="AW121" s="278"/>
      <c r="AX121" s="362">
        <v>15815</v>
      </c>
      <c r="AY121" s="223">
        <f>15815-830</f>
        <v>14985</v>
      </c>
      <c r="AZ121" s="5">
        <f t="shared" si="62"/>
        <v>-830</v>
      </c>
      <c r="BA121" s="68"/>
      <c r="BB121" s="229"/>
      <c r="BC121" s="230"/>
      <c r="BD121" s="68"/>
      <c r="BE121" s="238"/>
    </row>
    <row r="122" spans="1:57" ht="12.75">
      <c r="A122" s="73" t="s">
        <v>1</v>
      </c>
      <c r="B122" s="67" t="s">
        <v>21</v>
      </c>
      <c r="C122" s="74" t="s">
        <v>128</v>
      </c>
      <c r="D122" s="67">
        <v>80</v>
      </c>
      <c r="E122" s="3" t="s">
        <v>223</v>
      </c>
      <c r="F122" s="4">
        <v>25892</v>
      </c>
      <c r="G122" s="4">
        <v>0</v>
      </c>
      <c r="H122" s="26">
        <f t="shared" si="58"/>
        <v>25892</v>
      </c>
      <c r="I122" s="68">
        <v>0</v>
      </c>
      <c r="J122" s="72">
        <f t="shared" si="59"/>
        <v>25892</v>
      </c>
      <c r="K122" s="293"/>
      <c r="L122" s="4">
        <v>0</v>
      </c>
      <c r="M122" s="4">
        <v>-76</v>
      </c>
      <c r="N122" s="72">
        <f t="shared" si="63"/>
        <v>25816</v>
      </c>
      <c r="O122" s="4"/>
      <c r="P122" s="68">
        <f t="shared" si="64"/>
        <v>25892</v>
      </c>
      <c r="Q122" s="4">
        <f t="shared" si="65"/>
        <v>25892</v>
      </c>
      <c r="R122" s="4">
        <f t="shared" si="66"/>
        <v>-76</v>
      </c>
      <c r="S122" s="4">
        <v>0</v>
      </c>
      <c r="T122" s="4">
        <v>0</v>
      </c>
      <c r="U122" s="4">
        <f t="shared" si="67"/>
        <v>25816</v>
      </c>
      <c r="V122" s="4">
        <v>0</v>
      </c>
      <c r="W122" s="4">
        <v>0</v>
      </c>
      <c r="X122" s="68">
        <v>33750</v>
      </c>
      <c r="Y122" s="68">
        <f>1797-1797</f>
        <v>0</v>
      </c>
      <c r="Z122" s="68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f t="shared" si="60"/>
        <v>5000</v>
      </c>
      <c r="AV122" s="232">
        <f t="shared" si="61"/>
        <v>64566</v>
      </c>
      <c r="AW122" s="278"/>
      <c r="AX122" s="362">
        <v>59566</v>
      </c>
      <c r="AY122" s="223">
        <f>59566+5000</f>
        <v>64566</v>
      </c>
      <c r="AZ122" s="5">
        <f t="shared" si="62"/>
        <v>5000</v>
      </c>
      <c r="BA122" s="68"/>
      <c r="BB122" s="229"/>
      <c r="BC122" s="230"/>
      <c r="BD122" s="68"/>
      <c r="BE122" s="238"/>
    </row>
    <row r="123" spans="1:57" ht="12.75">
      <c r="A123" s="73" t="s">
        <v>1</v>
      </c>
      <c r="B123" s="67" t="s">
        <v>21</v>
      </c>
      <c r="C123" s="74" t="s">
        <v>128</v>
      </c>
      <c r="D123" s="67">
        <v>81</v>
      </c>
      <c r="E123" s="117" t="s">
        <v>222</v>
      </c>
      <c r="F123" s="4">
        <v>15455</v>
      </c>
      <c r="G123" s="4">
        <v>4000</v>
      </c>
      <c r="H123" s="26">
        <f t="shared" si="58"/>
        <v>19455</v>
      </c>
      <c r="I123" s="68">
        <v>0</v>
      </c>
      <c r="J123" s="72">
        <f t="shared" si="59"/>
        <v>19455</v>
      </c>
      <c r="K123" s="293"/>
      <c r="L123" s="4">
        <v>0</v>
      </c>
      <c r="M123" s="4">
        <v>-57</v>
      </c>
      <c r="N123" s="72">
        <f t="shared" si="63"/>
        <v>19398</v>
      </c>
      <c r="O123" s="4"/>
      <c r="P123" s="68">
        <f t="shared" si="64"/>
        <v>15455</v>
      </c>
      <c r="Q123" s="4">
        <f t="shared" si="65"/>
        <v>19455</v>
      </c>
      <c r="R123" s="4">
        <f t="shared" si="66"/>
        <v>-57</v>
      </c>
      <c r="S123" s="4">
        <v>0</v>
      </c>
      <c r="T123" s="4">
        <v>0</v>
      </c>
      <c r="U123" s="4">
        <f t="shared" si="67"/>
        <v>19398</v>
      </c>
      <c r="V123" s="4">
        <v>0</v>
      </c>
      <c r="W123" s="4">
        <v>0</v>
      </c>
      <c r="X123" s="68">
        <v>0</v>
      </c>
      <c r="Y123" s="68">
        <v>0</v>
      </c>
      <c r="Z123" s="68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f>SUM(AY123-AX123)</f>
        <v>-3917</v>
      </c>
      <c r="AV123" s="100">
        <f t="shared" si="61"/>
        <v>15481</v>
      </c>
      <c r="AW123" s="278"/>
      <c r="AX123" s="362">
        <v>35648</v>
      </c>
      <c r="AY123" s="223">
        <f>35648-3186-731</f>
        <v>31731</v>
      </c>
      <c r="AZ123" s="5">
        <f t="shared" si="62"/>
        <v>-3917</v>
      </c>
      <c r="BA123" s="68"/>
      <c r="BB123" s="229"/>
      <c r="BC123" s="230"/>
      <c r="BD123" s="68"/>
      <c r="BE123" s="238"/>
    </row>
    <row r="124" spans="1:57" ht="12.75">
      <c r="A124" s="73" t="s">
        <v>1</v>
      </c>
      <c r="B124" s="67" t="s">
        <v>21</v>
      </c>
      <c r="C124" s="74" t="s">
        <v>128</v>
      </c>
      <c r="D124" s="67">
        <v>82</v>
      </c>
      <c r="E124" s="117" t="s">
        <v>224</v>
      </c>
      <c r="F124" s="4">
        <v>30201</v>
      </c>
      <c r="G124" s="4">
        <f>-4750-5000+2400+2500</f>
        <v>-4850</v>
      </c>
      <c r="H124" s="26">
        <f t="shared" si="58"/>
        <v>25351</v>
      </c>
      <c r="I124" s="68">
        <v>0</v>
      </c>
      <c r="J124" s="72">
        <f t="shared" si="59"/>
        <v>25351</v>
      </c>
      <c r="K124" s="293"/>
      <c r="L124" s="4">
        <v>0</v>
      </c>
      <c r="M124" s="4">
        <v>-75</v>
      </c>
      <c r="N124" s="72">
        <f t="shared" si="63"/>
        <v>25276</v>
      </c>
      <c r="O124" s="4"/>
      <c r="P124" s="68">
        <f t="shared" si="64"/>
        <v>30201</v>
      </c>
      <c r="Q124" s="4">
        <f t="shared" si="65"/>
        <v>25351</v>
      </c>
      <c r="R124" s="4">
        <f t="shared" si="66"/>
        <v>-75</v>
      </c>
      <c r="S124" s="4">
        <v>0</v>
      </c>
      <c r="T124" s="4">
        <v>0</v>
      </c>
      <c r="U124" s="4">
        <f t="shared" si="67"/>
        <v>25276</v>
      </c>
      <c r="V124" s="4">
        <v>0</v>
      </c>
      <c r="W124" s="4">
        <v>0</v>
      </c>
      <c r="X124" s="68">
        <v>0</v>
      </c>
      <c r="Y124" s="68">
        <v>0</v>
      </c>
      <c r="Z124" s="68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4">
        <v>0</v>
      </c>
      <c r="AU124" s="4">
        <f t="shared" si="60"/>
        <v>37</v>
      </c>
      <c r="AV124" s="232">
        <f t="shared" si="61"/>
        <v>25313</v>
      </c>
      <c r="AW124" s="278"/>
      <c r="AX124" s="362">
        <v>25276</v>
      </c>
      <c r="AY124" s="223">
        <f>25182+129+174-105-67</f>
        <v>25313</v>
      </c>
      <c r="AZ124" s="5">
        <f t="shared" si="62"/>
        <v>37</v>
      </c>
      <c r="BA124" s="68"/>
      <c r="BB124" s="229"/>
      <c r="BC124" s="230"/>
      <c r="BD124" s="68"/>
      <c r="BE124" s="238"/>
    </row>
    <row r="125" spans="1:57" ht="12.75">
      <c r="A125" s="73" t="s">
        <v>1</v>
      </c>
      <c r="B125" s="67" t="s">
        <v>21</v>
      </c>
      <c r="C125" s="74" t="s">
        <v>128</v>
      </c>
      <c r="D125" s="67">
        <v>83</v>
      </c>
      <c r="E125" s="117" t="s">
        <v>225</v>
      </c>
      <c r="F125" s="4">
        <v>33966</v>
      </c>
      <c r="G125" s="4">
        <f>1600-12000</f>
        <v>-10400</v>
      </c>
      <c r="H125" s="26">
        <f t="shared" si="58"/>
        <v>23566</v>
      </c>
      <c r="I125" s="68">
        <v>0</v>
      </c>
      <c r="J125" s="72">
        <f t="shared" si="59"/>
        <v>23566</v>
      </c>
      <c r="K125" s="293"/>
      <c r="L125" s="4">
        <v>0</v>
      </c>
      <c r="M125" s="4">
        <v>-69</v>
      </c>
      <c r="N125" s="72">
        <f t="shared" si="63"/>
        <v>23497</v>
      </c>
      <c r="O125" s="4"/>
      <c r="P125" s="68">
        <f t="shared" si="64"/>
        <v>33966</v>
      </c>
      <c r="Q125" s="4">
        <f t="shared" si="65"/>
        <v>23566</v>
      </c>
      <c r="R125" s="4">
        <f t="shared" si="66"/>
        <v>-69</v>
      </c>
      <c r="S125" s="4">
        <v>0</v>
      </c>
      <c r="T125" s="4">
        <v>0</v>
      </c>
      <c r="U125" s="4">
        <f t="shared" si="67"/>
        <v>23497</v>
      </c>
      <c r="V125" s="4">
        <v>0</v>
      </c>
      <c r="W125" s="4">
        <v>0</v>
      </c>
      <c r="X125" s="68">
        <v>0</v>
      </c>
      <c r="Y125" s="68">
        <v>0</v>
      </c>
      <c r="Z125" s="68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11162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f t="shared" si="60"/>
        <v>-3686</v>
      </c>
      <c r="AV125" s="232">
        <f t="shared" si="61"/>
        <v>30973</v>
      </c>
      <c r="AW125" s="278"/>
      <c r="AX125" s="362">
        <f>23497+11162</f>
        <v>34659</v>
      </c>
      <c r="AY125" s="223">
        <f>23497+2395+5081</f>
        <v>30973</v>
      </c>
      <c r="AZ125" s="5">
        <f t="shared" si="62"/>
        <v>-3686</v>
      </c>
      <c r="BA125" s="68"/>
      <c r="BB125" s="229"/>
      <c r="BC125" s="230"/>
      <c r="BD125" s="68"/>
      <c r="BE125" s="238"/>
    </row>
    <row r="126" spans="1:57" ht="12.75">
      <c r="A126" s="73" t="s">
        <v>1</v>
      </c>
      <c r="B126" s="67" t="s">
        <v>21</v>
      </c>
      <c r="C126" s="74" t="s">
        <v>128</v>
      </c>
      <c r="D126" s="67">
        <v>84</v>
      </c>
      <c r="E126" s="117" t="s">
        <v>38</v>
      </c>
      <c r="F126" s="4">
        <v>13450</v>
      </c>
      <c r="G126" s="4">
        <v>0</v>
      </c>
      <c r="H126" s="26">
        <f t="shared" si="58"/>
        <v>13450</v>
      </c>
      <c r="I126" s="68">
        <v>0</v>
      </c>
      <c r="J126" s="72">
        <f t="shared" si="59"/>
        <v>13450</v>
      </c>
      <c r="K126" s="293"/>
      <c r="L126" s="4">
        <v>0</v>
      </c>
      <c r="M126" s="4">
        <v>-40</v>
      </c>
      <c r="N126" s="72">
        <f t="shared" si="63"/>
        <v>13410</v>
      </c>
      <c r="O126" s="4"/>
      <c r="P126" s="4">
        <f t="shared" si="64"/>
        <v>13450</v>
      </c>
      <c r="Q126" s="4">
        <f t="shared" si="65"/>
        <v>13450</v>
      </c>
      <c r="R126" s="4">
        <f t="shared" si="66"/>
        <v>-40</v>
      </c>
      <c r="S126" s="4">
        <v>0</v>
      </c>
      <c r="T126" s="4">
        <v>0</v>
      </c>
      <c r="U126" s="4">
        <f t="shared" si="67"/>
        <v>13410</v>
      </c>
      <c r="V126" s="4">
        <v>0</v>
      </c>
      <c r="W126" s="4">
        <v>0</v>
      </c>
      <c r="X126" s="68">
        <v>0</v>
      </c>
      <c r="Y126" s="68">
        <v>0</v>
      </c>
      <c r="Z126" s="68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f t="shared" si="60"/>
        <v>0</v>
      </c>
      <c r="AV126" s="232">
        <f t="shared" si="61"/>
        <v>13410</v>
      </c>
      <c r="AW126" s="278"/>
      <c r="AX126" s="362">
        <v>13410</v>
      </c>
      <c r="AY126" s="223">
        <v>13410</v>
      </c>
      <c r="AZ126" s="5">
        <f t="shared" si="62"/>
        <v>0</v>
      </c>
      <c r="BA126" s="68"/>
      <c r="BB126" s="229"/>
      <c r="BC126" s="230"/>
      <c r="BD126" s="345"/>
      <c r="BE126" s="238"/>
    </row>
    <row r="127" spans="1:57" ht="12.75">
      <c r="A127" s="73" t="s">
        <v>1</v>
      </c>
      <c r="B127" s="67" t="s">
        <v>21</v>
      </c>
      <c r="C127" s="74" t="s">
        <v>128</v>
      </c>
      <c r="D127" s="67">
        <v>86</v>
      </c>
      <c r="E127" s="117" t="s">
        <v>39</v>
      </c>
      <c r="F127" s="4">
        <v>15331</v>
      </c>
      <c r="G127" s="4">
        <v>0</v>
      </c>
      <c r="H127" s="26">
        <f t="shared" si="58"/>
        <v>15331</v>
      </c>
      <c r="I127" s="68">
        <v>0</v>
      </c>
      <c r="J127" s="72">
        <f t="shared" si="59"/>
        <v>15331</v>
      </c>
      <c r="K127" s="293"/>
      <c r="L127" s="4">
        <v>0</v>
      </c>
      <c r="M127" s="4">
        <v>-45</v>
      </c>
      <c r="N127" s="72">
        <f t="shared" si="63"/>
        <v>15286</v>
      </c>
      <c r="O127" s="4"/>
      <c r="P127" s="4">
        <f t="shared" si="64"/>
        <v>15331</v>
      </c>
      <c r="Q127" s="4">
        <f t="shared" si="65"/>
        <v>15331</v>
      </c>
      <c r="R127" s="4">
        <f t="shared" si="66"/>
        <v>-45</v>
      </c>
      <c r="S127" s="4">
        <v>0</v>
      </c>
      <c r="T127" s="4">
        <v>0</v>
      </c>
      <c r="U127" s="4">
        <f t="shared" si="67"/>
        <v>15286</v>
      </c>
      <c r="V127" s="4">
        <v>0</v>
      </c>
      <c r="W127" s="4">
        <v>0</v>
      </c>
      <c r="X127" s="68">
        <v>0</v>
      </c>
      <c r="Y127" s="68">
        <v>0</v>
      </c>
      <c r="Z127" s="68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f t="shared" si="60"/>
        <v>-3006</v>
      </c>
      <c r="AV127" s="232">
        <f>SUM(U127:AU127)</f>
        <v>12280</v>
      </c>
      <c r="AW127" s="278"/>
      <c r="AX127" s="362">
        <v>15286</v>
      </c>
      <c r="AY127" s="223">
        <f>15286-3014+8</f>
        <v>12280</v>
      </c>
      <c r="AZ127" s="5">
        <f t="shared" si="62"/>
        <v>-3006</v>
      </c>
      <c r="BA127" s="68"/>
      <c r="BB127" s="229"/>
      <c r="BC127" s="230"/>
      <c r="BD127" s="345"/>
      <c r="BE127" s="238"/>
    </row>
    <row r="128" spans="1:57" ht="12.75">
      <c r="A128" s="73" t="s">
        <v>1</v>
      </c>
      <c r="B128" s="67" t="s">
        <v>21</v>
      </c>
      <c r="C128" s="74" t="s">
        <v>128</v>
      </c>
      <c r="D128" s="67">
        <v>87</v>
      </c>
      <c r="E128" s="117" t="s">
        <v>198</v>
      </c>
      <c r="F128" s="4">
        <v>315443</v>
      </c>
      <c r="G128" s="4">
        <f>1600+2400</f>
        <v>4000</v>
      </c>
      <c r="H128" s="26">
        <f t="shared" si="58"/>
        <v>319443</v>
      </c>
      <c r="I128" s="68">
        <v>0</v>
      </c>
      <c r="J128" s="72">
        <f t="shared" si="59"/>
        <v>319443</v>
      </c>
      <c r="K128" s="293"/>
      <c r="L128" s="4">
        <v>0</v>
      </c>
      <c r="M128" s="4">
        <v>-941</v>
      </c>
      <c r="N128" s="72">
        <f t="shared" si="63"/>
        <v>318502</v>
      </c>
      <c r="O128" s="4"/>
      <c r="P128" s="4">
        <f t="shared" si="64"/>
        <v>315443</v>
      </c>
      <c r="Q128" s="4">
        <f t="shared" si="65"/>
        <v>319443</v>
      </c>
      <c r="R128" s="4">
        <f t="shared" si="66"/>
        <v>-941</v>
      </c>
      <c r="S128" s="4">
        <v>0</v>
      </c>
      <c r="T128" s="4">
        <v>0</v>
      </c>
      <c r="U128" s="4">
        <f t="shared" si="67"/>
        <v>318502</v>
      </c>
      <c r="V128" s="4">
        <v>0</v>
      </c>
      <c r="W128" s="4">
        <v>0</v>
      </c>
      <c r="X128" s="68">
        <f>33750-33750</f>
        <v>0</v>
      </c>
      <c r="Y128" s="68">
        <v>1797</v>
      </c>
      <c r="Z128" s="68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1549</v>
      </c>
      <c r="AQ128" s="4">
        <v>0</v>
      </c>
      <c r="AR128" s="4">
        <v>0</v>
      </c>
      <c r="AS128" s="4">
        <v>0</v>
      </c>
      <c r="AT128" s="4">
        <v>0</v>
      </c>
      <c r="AU128" s="100">
        <f>SUM(AY128-AX128)</f>
        <v>-11061</v>
      </c>
      <c r="AV128" s="234">
        <f t="shared" si="61"/>
        <v>310787</v>
      </c>
      <c r="AW128" s="278"/>
      <c r="AX128" s="362">
        <f>318502+1+1797+1549</f>
        <v>321849</v>
      </c>
      <c r="AY128" s="223">
        <f>320933+512-8187-5000+830+151+1549</f>
        <v>310788</v>
      </c>
      <c r="AZ128" s="5">
        <f t="shared" si="62"/>
        <v>-11061</v>
      </c>
      <c r="BA128" s="68"/>
      <c r="BB128" s="229"/>
      <c r="BC128" s="230"/>
      <c r="BD128" s="345"/>
      <c r="BE128" s="238"/>
    </row>
    <row r="129" spans="1:57" ht="12.75">
      <c r="A129" s="73" t="s">
        <v>1</v>
      </c>
      <c r="B129" s="67" t="s">
        <v>21</v>
      </c>
      <c r="C129" s="74" t="s">
        <v>128</v>
      </c>
      <c r="D129" s="67">
        <v>88</v>
      </c>
      <c r="E129" s="117" t="s">
        <v>40</v>
      </c>
      <c r="F129" s="4">
        <v>64778</v>
      </c>
      <c r="G129" s="4">
        <v>-9000</v>
      </c>
      <c r="H129" s="26">
        <f t="shared" si="58"/>
        <v>55778</v>
      </c>
      <c r="I129" s="68">
        <v>0</v>
      </c>
      <c r="J129" s="72">
        <f t="shared" si="59"/>
        <v>55778</v>
      </c>
      <c r="K129" s="293"/>
      <c r="L129" s="4">
        <v>0</v>
      </c>
      <c r="M129" s="4">
        <v>-164</v>
      </c>
      <c r="N129" s="72">
        <f t="shared" si="63"/>
        <v>55614</v>
      </c>
      <c r="O129" s="4"/>
      <c r="P129" s="4">
        <f t="shared" si="64"/>
        <v>64778</v>
      </c>
      <c r="Q129" s="4">
        <f t="shared" si="65"/>
        <v>55778</v>
      </c>
      <c r="R129" s="4">
        <f t="shared" si="66"/>
        <v>-164</v>
      </c>
      <c r="S129" s="4">
        <v>0</v>
      </c>
      <c r="T129" s="4">
        <v>0</v>
      </c>
      <c r="U129" s="4">
        <f t="shared" si="67"/>
        <v>55614</v>
      </c>
      <c r="V129" s="4">
        <v>0</v>
      </c>
      <c r="W129" s="4">
        <v>0</v>
      </c>
      <c r="X129" s="68">
        <v>0</v>
      </c>
      <c r="Y129" s="68">
        <v>0</v>
      </c>
      <c r="Z129" s="68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-18662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68">
        <f>SUM(AY129-AX129)</f>
        <v>-6124</v>
      </c>
      <c r="AV129" s="232">
        <f t="shared" si="61"/>
        <v>30828</v>
      </c>
      <c r="AW129" s="278"/>
      <c r="AX129" s="362">
        <f>55614-18662</f>
        <v>36952</v>
      </c>
      <c r="AY129" s="223">
        <f>55614-511-5417-18662-196</f>
        <v>30828</v>
      </c>
      <c r="AZ129" s="5">
        <f t="shared" si="62"/>
        <v>-6124</v>
      </c>
      <c r="BA129" s="68"/>
      <c r="BB129" s="229"/>
      <c r="BC129" s="230"/>
      <c r="BD129" s="68"/>
      <c r="BE129" s="238"/>
    </row>
    <row r="130" spans="1:57" s="14" customFormat="1" ht="12.75">
      <c r="A130" s="73" t="s">
        <v>1</v>
      </c>
      <c r="B130" s="88">
        <v>4</v>
      </c>
      <c r="C130" s="89" t="s">
        <v>128</v>
      </c>
      <c r="D130" s="88">
        <v>84</v>
      </c>
      <c r="E130" s="90" t="s">
        <v>286</v>
      </c>
      <c r="F130" s="85">
        <v>8231</v>
      </c>
      <c r="G130" s="85">
        <v>0</v>
      </c>
      <c r="H130" s="85">
        <f t="shared" si="58"/>
        <v>8231</v>
      </c>
      <c r="I130" s="83">
        <v>0</v>
      </c>
      <c r="J130" s="84">
        <f t="shared" si="59"/>
        <v>8231</v>
      </c>
      <c r="K130" s="282"/>
      <c r="L130" s="85">
        <v>0</v>
      </c>
      <c r="M130" s="85">
        <v>-24</v>
      </c>
      <c r="N130" s="84">
        <f t="shared" si="63"/>
        <v>8207</v>
      </c>
      <c r="O130" s="85"/>
      <c r="P130" s="85">
        <f t="shared" si="64"/>
        <v>8231</v>
      </c>
      <c r="Q130" s="85">
        <f t="shared" si="65"/>
        <v>8231</v>
      </c>
      <c r="R130" s="85">
        <f t="shared" si="66"/>
        <v>-24</v>
      </c>
      <c r="S130" s="85">
        <v>0</v>
      </c>
      <c r="T130" s="85">
        <v>0</v>
      </c>
      <c r="U130" s="58">
        <f t="shared" si="67"/>
        <v>8207</v>
      </c>
      <c r="V130" s="58">
        <v>0</v>
      </c>
      <c r="W130" s="85">
        <v>0</v>
      </c>
      <c r="X130" s="83">
        <v>1380</v>
      </c>
      <c r="Y130" s="83">
        <v>0</v>
      </c>
      <c r="Z130" s="83">
        <v>0</v>
      </c>
      <c r="AA130" s="85">
        <v>0</v>
      </c>
      <c r="AB130" s="85">
        <v>0</v>
      </c>
      <c r="AC130" s="85">
        <v>0</v>
      </c>
      <c r="AD130" s="85">
        <v>0</v>
      </c>
      <c r="AE130" s="85">
        <v>0</v>
      </c>
      <c r="AF130" s="85">
        <v>0</v>
      </c>
      <c r="AG130" s="85">
        <v>0</v>
      </c>
      <c r="AH130" s="85">
        <v>0</v>
      </c>
      <c r="AI130" s="85">
        <v>0</v>
      </c>
      <c r="AJ130" s="85">
        <v>0</v>
      </c>
      <c r="AK130" s="85">
        <v>0</v>
      </c>
      <c r="AL130" s="85">
        <v>0</v>
      </c>
      <c r="AM130" s="85">
        <v>0</v>
      </c>
      <c r="AN130" s="85">
        <v>0</v>
      </c>
      <c r="AO130" s="85">
        <v>0</v>
      </c>
      <c r="AP130" s="85">
        <v>0</v>
      </c>
      <c r="AQ130" s="85">
        <v>0</v>
      </c>
      <c r="AR130" s="85">
        <v>0</v>
      </c>
      <c r="AS130" s="85">
        <v>0</v>
      </c>
      <c r="AT130" s="85">
        <v>0</v>
      </c>
      <c r="AU130" s="85">
        <f t="shared" si="60"/>
        <v>0</v>
      </c>
      <c r="AV130" s="235">
        <f>SUM(U130:AU130)</f>
        <v>9587</v>
      </c>
      <c r="AW130" s="280"/>
      <c r="AX130" s="364">
        <f>9587</f>
        <v>9587</v>
      </c>
      <c r="AY130" s="222">
        <v>9587</v>
      </c>
      <c r="AZ130" s="86">
        <f t="shared" si="62"/>
        <v>0</v>
      </c>
      <c r="BA130" s="83"/>
      <c r="BB130" s="128"/>
      <c r="BC130" s="125"/>
      <c r="BD130" s="83"/>
      <c r="BE130" s="20"/>
    </row>
    <row r="131" spans="1:60" s="27" customFormat="1" ht="12.75">
      <c r="A131" s="73" t="s">
        <v>1</v>
      </c>
      <c r="B131" s="91" t="s">
        <v>21</v>
      </c>
      <c r="C131" s="118" t="s">
        <v>128</v>
      </c>
      <c r="D131" s="118" t="s">
        <v>183</v>
      </c>
      <c r="E131" s="31" t="s">
        <v>185</v>
      </c>
      <c r="F131" s="26">
        <v>0</v>
      </c>
      <c r="G131" s="26">
        <v>0</v>
      </c>
      <c r="H131" s="26">
        <f t="shared" si="58"/>
        <v>0</v>
      </c>
      <c r="I131" s="94">
        <v>0</v>
      </c>
      <c r="J131" s="95">
        <f t="shared" si="59"/>
        <v>0</v>
      </c>
      <c r="K131" s="24"/>
      <c r="L131" s="26">
        <v>0</v>
      </c>
      <c r="M131" s="26">
        <v>0</v>
      </c>
      <c r="N131" s="95">
        <f t="shared" si="63"/>
        <v>0</v>
      </c>
      <c r="O131" s="26"/>
      <c r="P131" s="26">
        <f t="shared" si="64"/>
        <v>0</v>
      </c>
      <c r="Q131" s="26">
        <f t="shared" si="65"/>
        <v>0</v>
      </c>
      <c r="R131" s="26">
        <f t="shared" si="66"/>
        <v>0</v>
      </c>
      <c r="S131" s="26">
        <v>0</v>
      </c>
      <c r="T131" s="26">
        <v>0</v>
      </c>
      <c r="U131" s="4">
        <f t="shared" si="67"/>
        <v>0</v>
      </c>
      <c r="V131" s="4">
        <v>0</v>
      </c>
      <c r="W131" s="26">
        <v>0</v>
      </c>
      <c r="X131" s="94">
        <v>0</v>
      </c>
      <c r="Y131" s="94">
        <v>0</v>
      </c>
      <c r="Z131" s="94">
        <v>0</v>
      </c>
      <c r="AA131" s="26">
        <v>2407</v>
      </c>
      <c r="AB131" s="26">
        <v>0</v>
      </c>
      <c r="AC131" s="26">
        <v>0</v>
      </c>
      <c r="AD131" s="26">
        <v>0</v>
      </c>
      <c r="AE131" s="4">
        <v>0</v>
      </c>
      <c r="AF131" s="4">
        <v>0</v>
      </c>
      <c r="AG131" s="4">
        <v>548</v>
      </c>
      <c r="AH131" s="26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124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f>SUM(AY131-AX131)+548-548</f>
        <v>0</v>
      </c>
      <c r="AV131" s="232">
        <f>SUM(U131:AU131)</f>
        <v>3079</v>
      </c>
      <c r="AW131" s="116"/>
      <c r="AX131" s="362">
        <f>2407+548+124</f>
        <v>3079</v>
      </c>
      <c r="AY131" s="223">
        <f>2407+672</f>
        <v>3079</v>
      </c>
      <c r="AZ131" s="25">
        <f t="shared" si="62"/>
        <v>0</v>
      </c>
      <c r="BA131" s="94"/>
      <c r="BB131" s="129"/>
      <c r="BC131" s="230"/>
      <c r="BD131" s="68"/>
      <c r="BE131" s="21"/>
      <c r="BF131" s="21"/>
      <c r="BG131" s="21"/>
      <c r="BH131" s="21"/>
    </row>
    <row r="132" spans="1:57" s="27" customFormat="1" ht="13.5" thickBot="1">
      <c r="A132" s="119"/>
      <c r="B132" s="91"/>
      <c r="C132" s="118"/>
      <c r="D132" s="118"/>
      <c r="E132" s="93" t="s">
        <v>191</v>
      </c>
      <c r="F132" s="26">
        <v>0</v>
      </c>
      <c r="G132" s="26">
        <v>0</v>
      </c>
      <c r="H132" s="26">
        <f t="shared" si="58"/>
        <v>0</v>
      </c>
      <c r="I132" s="94">
        <v>0</v>
      </c>
      <c r="J132" s="95">
        <f t="shared" si="59"/>
        <v>0</v>
      </c>
      <c r="K132" s="24"/>
      <c r="L132" s="26">
        <v>0</v>
      </c>
      <c r="M132" s="26">
        <v>0</v>
      </c>
      <c r="N132" s="95">
        <f t="shared" si="63"/>
        <v>0</v>
      </c>
      <c r="O132" s="26"/>
      <c r="P132" s="26">
        <f t="shared" si="64"/>
        <v>0</v>
      </c>
      <c r="Q132" s="26">
        <f t="shared" si="65"/>
        <v>0</v>
      </c>
      <c r="R132" s="26">
        <f t="shared" si="66"/>
        <v>0</v>
      </c>
      <c r="S132" s="26"/>
      <c r="T132" s="26"/>
      <c r="U132" s="4">
        <f t="shared" si="67"/>
        <v>0</v>
      </c>
      <c r="V132" s="26"/>
      <c r="W132" s="26">
        <v>0</v>
      </c>
      <c r="X132" s="94">
        <v>0</v>
      </c>
      <c r="Y132" s="94">
        <v>0</v>
      </c>
      <c r="Z132" s="94">
        <v>0</v>
      </c>
      <c r="AA132" s="26">
        <v>0</v>
      </c>
      <c r="AB132" s="26"/>
      <c r="AC132" s="26"/>
      <c r="AD132" s="26"/>
      <c r="AE132" s="4"/>
      <c r="AF132" s="4"/>
      <c r="AG132" s="4"/>
      <c r="AH132" s="26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>
        <v>0</v>
      </c>
      <c r="AV132" s="232">
        <f>SUM(U132:AU132)</f>
        <v>0</v>
      </c>
      <c r="AW132" s="116"/>
      <c r="AX132" s="272">
        <v>0</v>
      </c>
      <c r="AY132" s="223">
        <v>0</v>
      </c>
      <c r="AZ132" s="25">
        <f t="shared" si="62"/>
        <v>0</v>
      </c>
      <c r="BA132" s="94"/>
      <c r="BB132" s="129"/>
      <c r="BC132" s="230"/>
      <c r="BD132" s="94"/>
      <c r="BE132" s="21"/>
    </row>
    <row r="133" spans="1:57" s="11" customFormat="1" ht="13.5" thickBot="1">
      <c r="A133" s="48"/>
      <c r="B133" s="295"/>
      <c r="C133" s="295"/>
      <c r="D133" s="295"/>
      <c r="E133" s="306" t="s">
        <v>141</v>
      </c>
      <c r="F133" s="297">
        <f>SUM(F95:F132)</f>
        <v>1458743</v>
      </c>
      <c r="G133" s="297">
        <f>SUM(G95:G132)</f>
        <v>36863</v>
      </c>
      <c r="H133" s="297">
        <f>SUM(H95:H132)</f>
        <v>1495606</v>
      </c>
      <c r="I133" s="298">
        <f>SUM(I95:I132)</f>
        <v>0</v>
      </c>
      <c r="J133" s="299">
        <f t="shared" si="59"/>
        <v>1495606</v>
      </c>
      <c r="K133" s="300"/>
      <c r="L133" s="297">
        <f>SUM(L95:L132)</f>
        <v>0</v>
      </c>
      <c r="M133" s="297">
        <f>SUM(M95:M132)</f>
        <v>-4411</v>
      </c>
      <c r="N133" s="299">
        <f>SUM(N95:N132)</f>
        <v>1491195</v>
      </c>
      <c r="O133" s="297"/>
      <c r="P133" s="297">
        <f>SUM(P95:P132)</f>
        <v>1458743</v>
      </c>
      <c r="Q133" s="297">
        <f>SUM(Q95:Q132)</f>
        <v>1495606</v>
      </c>
      <c r="R133" s="297">
        <f>SUM(R95:R132)</f>
        <v>-4411</v>
      </c>
      <c r="S133" s="297">
        <f aca="true" t="shared" si="68" ref="S133:AG133">SUM(S95:S131)</f>
        <v>0</v>
      </c>
      <c r="T133" s="297">
        <f t="shared" si="68"/>
        <v>0</v>
      </c>
      <c r="U133" s="297">
        <f t="shared" si="68"/>
        <v>1491195</v>
      </c>
      <c r="V133" s="297">
        <f t="shared" si="68"/>
        <v>0</v>
      </c>
      <c r="W133" s="297">
        <f>SUM(W95:W132)</f>
        <v>0</v>
      </c>
      <c r="X133" s="298">
        <f>SUM(X95:X132)</f>
        <v>112020</v>
      </c>
      <c r="Y133" s="298">
        <f>SUM(Y95:Y132)</f>
        <v>13997</v>
      </c>
      <c r="Z133" s="298">
        <f>SUM(Z95:Z132)</f>
        <v>-6400</v>
      </c>
      <c r="AA133" s="297">
        <f>SUM(AA95:AA132)</f>
        <v>2407</v>
      </c>
      <c r="AB133" s="297">
        <f t="shared" si="68"/>
        <v>0</v>
      </c>
      <c r="AC133" s="297">
        <f t="shared" si="68"/>
        <v>0</v>
      </c>
      <c r="AD133" s="297">
        <f t="shared" si="68"/>
        <v>0</v>
      </c>
      <c r="AE133" s="297">
        <f t="shared" si="68"/>
        <v>0</v>
      </c>
      <c r="AF133" s="297">
        <f t="shared" si="68"/>
        <v>0</v>
      </c>
      <c r="AG133" s="297">
        <f t="shared" si="68"/>
        <v>548</v>
      </c>
      <c r="AH133" s="297">
        <f aca="true" t="shared" si="69" ref="AH133:AT133">SUM(AH95:AH131)</f>
        <v>142000</v>
      </c>
      <c r="AI133" s="297">
        <f t="shared" si="69"/>
        <v>0</v>
      </c>
      <c r="AJ133" s="297">
        <f t="shared" si="69"/>
        <v>0</v>
      </c>
      <c r="AK133" s="297">
        <f t="shared" si="69"/>
        <v>134166</v>
      </c>
      <c r="AL133" s="297">
        <f t="shared" si="69"/>
        <v>17000</v>
      </c>
      <c r="AM133" s="297">
        <f t="shared" si="69"/>
        <v>124</v>
      </c>
      <c r="AN133" s="297">
        <f t="shared" si="69"/>
        <v>-5200</v>
      </c>
      <c r="AO133" s="297">
        <f t="shared" si="69"/>
        <v>0</v>
      </c>
      <c r="AP133" s="297">
        <f t="shared" si="69"/>
        <v>1549</v>
      </c>
      <c r="AQ133" s="297">
        <f t="shared" si="69"/>
        <v>0</v>
      </c>
      <c r="AR133" s="297">
        <f t="shared" si="69"/>
        <v>0</v>
      </c>
      <c r="AS133" s="297">
        <f t="shared" si="69"/>
        <v>0</v>
      </c>
      <c r="AT133" s="297">
        <f t="shared" si="69"/>
        <v>0</v>
      </c>
      <c r="AU133" s="297">
        <f>SUM(AU95:AU132)</f>
        <v>0</v>
      </c>
      <c r="AV133" s="253">
        <f>SUM(AV95:AV132)</f>
        <v>1903406</v>
      </c>
      <c r="AW133" s="351"/>
      <c r="AX133" s="253">
        <f>SUM(AX95:AX132)</f>
        <v>1903407</v>
      </c>
      <c r="AY133" s="253">
        <f>SUM(AY95:AY132)</f>
        <v>1903407</v>
      </c>
      <c r="AZ133" s="250">
        <f>SUM(AZ95:AZ132)</f>
        <v>0</v>
      </c>
      <c r="BA133" s="79"/>
      <c r="BB133" s="129"/>
      <c r="BC133" s="230"/>
      <c r="BD133" s="79"/>
      <c r="BE133" s="52"/>
    </row>
    <row r="134" spans="1:57" ht="13.5" thickBot="1">
      <c r="A134" s="66"/>
      <c r="B134" s="67"/>
      <c r="C134" s="67"/>
      <c r="D134" s="67"/>
      <c r="E134" s="3"/>
      <c r="F134" s="4"/>
      <c r="G134" s="4"/>
      <c r="H134" s="4"/>
      <c r="I134" s="68"/>
      <c r="J134" s="72"/>
      <c r="K134" s="293"/>
      <c r="L134" s="4"/>
      <c r="M134" s="4"/>
      <c r="N134" s="72"/>
      <c r="O134" s="4"/>
      <c r="P134" s="4"/>
      <c r="Q134" s="4"/>
      <c r="R134" s="4"/>
      <c r="S134" s="4"/>
      <c r="T134" s="4"/>
      <c r="U134" s="4"/>
      <c r="V134" s="4"/>
      <c r="W134" s="4"/>
      <c r="X134" s="68"/>
      <c r="Y134" s="68"/>
      <c r="Z134" s="68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232"/>
      <c r="AW134" s="278"/>
      <c r="AX134" s="271"/>
      <c r="AY134" s="220"/>
      <c r="AZ134" s="5"/>
      <c r="BA134" s="68"/>
      <c r="BB134" s="229"/>
      <c r="BC134" s="230"/>
      <c r="BD134" s="238"/>
      <c r="BE134" s="238"/>
    </row>
    <row r="135" spans="1:57" s="11" customFormat="1" ht="13.5" thickBot="1">
      <c r="A135" s="340"/>
      <c r="B135" s="341"/>
      <c r="C135" s="341"/>
      <c r="D135" s="341"/>
      <c r="E135" s="342" t="s">
        <v>214</v>
      </c>
      <c r="F135" s="218">
        <f>SUM(F133)</f>
        <v>1458743</v>
      </c>
      <c r="G135" s="218">
        <f>SUM(G133)</f>
        <v>36863</v>
      </c>
      <c r="H135" s="218">
        <f>SUM(H133)</f>
        <v>1495606</v>
      </c>
      <c r="I135" s="218">
        <f>SUM(I133)</f>
        <v>0</v>
      </c>
      <c r="J135" s="218">
        <f>SUM(J133)</f>
        <v>1495606</v>
      </c>
      <c r="K135" s="38"/>
      <c r="L135" s="218">
        <f>SUM(L133)</f>
        <v>0</v>
      </c>
      <c r="M135" s="218">
        <f>SUM(M133)</f>
        <v>-4411</v>
      </c>
      <c r="N135" s="218">
        <f>SUM(N133)</f>
        <v>1491195</v>
      </c>
      <c r="O135" s="218"/>
      <c r="P135" s="218">
        <f aca="true" t="shared" si="70" ref="P135:AZ135">SUM(P133)</f>
        <v>1458743</v>
      </c>
      <c r="Q135" s="218">
        <f t="shared" si="70"/>
        <v>1495606</v>
      </c>
      <c r="R135" s="218">
        <f t="shared" si="70"/>
        <v>-4411</v>
      </c>
      <c r="S135" s="218">
        <f t="shared" si="70"/>
        <v>0</v>
      </c>
      <c r="T135" s="218">
        <f t="shared" si="70"/>
        <v>0</v>
      </c>
      <c r="U135" s="218">
        <f t="shared" si="70"/>
        <v>1491195</v>
      </c>
      <c r="V135" s="218">
        <f t="shared" si="70"/>
        <v>0</v>
      </c>
      <c r="W135" s="218">
        <f t="shared" si="70"/>
        <v>0</v>
      </c>
      <c r="X135" s="218">
        <f t="shared" si="70"/>
        <v>112020</v>
      </c>
      <c r="Y135" s="218">
        <f t="shared" si="70"/>
        <v>13997</v>
      </c>
      <c r="Z135" s="218">
        <f t="shared" si="70"/>
        <v>-6400</v>
      </c>
      <c r="AA135" s="218">
        <f t="shared" si="70"/>
        <v>2407</v>
      </c>
      <c r="AB135" s="218">
        <f t="shared" si="70"/>
        <v>0</v>
      </c>
      <c r="AC135" s="218">
        <f t="shared" si="70"/>
        <v>0</v>
      </c>
      <c r="AD135" s="218">
        <f t="shared" si="70"/>
        <v>0</v>
      </c>
      <c r="AE135" s="218">
        <f t="shared" si="70"/>
        <v>0</v>
      </c>
      <c r="AF135" s="218">
        <f aca="true" t="shared" si="71" ref="AF135:AU135">SUM(AF133)</f>
        <v>0</v>
      </c>
      <c r="AG135" s="218">
        <f t="shared" si="71"/>
        <v>548</v>
      </c>
      <c r="AH135" s="218">
        <f t="shared" si="71"/>
        <v>142000</v>
      </c>
      <c r="AI135" s="218">
        <f t="shared" si="71"/>
        <v>0</v>
      </c>
      <c r="AJ135" s="218">
        <f>SUM(AJ133)</f>
        <v>0</v>
      </c>
      <c r="AK135" s="218">
        <f>SUM(AK133)</f>
        <v>134166</v>
      </c>
      <c r="AL135" s="218">
        <f>SUM(AL133)</f>
        <v>17000</v>
      </c>
      <c r="AM135" s="218">
        <f t="shared" si="71"/>
        <v>124</v>
      </c>
      <c r="AN135" s="218">
        <f>SUM(AN133)</f>
        <v>-5200</v>
      </c>
      <c r="AO135" s="218">
        <f t="shared" si="71"/>
        <v>0</v>
      </c>
      <c r="AP135" s="218">
        <f t="shared" si="71"/>
        <v>1549</v>
      </c>
      <c r="AQ135" s="218">
        <f>SUM(AQ133)</f>
        <v>0</v>
      </c>
      <c r="AR135" s="218">
        <f>SUM(AR133)</f>
        <v>0</v>
      </c>
      <c r="AS135" s="218">
        <f>SUM(AS133)</f>
        <v>0</v>
      </c>
      <c r="AT135" s="218">
        <f t="shared" si="71"/>
        <v>0</v>
      </c>
      <c r="AU135" s="218">
        <f t="shared" si="71"/>
        <v>0</v>
      </c>
      <c r="AV135" s="218">
        <f t="shared" si="70"/>
        <v>1903406</v>
      </c>
      <c r="AW135" s="343"/>
      <c r="AX135" s="218">
        <f t="shared" si="70"/>
        <v>1903407</v>
      </c>
      <c r="AY135" s="218">
        <f t="shared" si="70"/>
        <v>1903407</v>
      </c>
      <c r="AZ135" s="39">
        <f t="shared" si="70"/>
        <v>0</v>
      </c>
      <c r="BA135" s="79"/>
      <c r="BB135" s="129"/>
      <c r="BC135" s="230"/>
      <c r="BD135" s="52"/>
      <c r="BE135" s="52"/>
    </row>
    <row r="136" spans="1:57" ht="12.75">
      <c r="A136" s="66"/>
      <c r="B136" s="67"/>
      <c r="C136" s="67"/>
      <c r="D136" s="67"/>
      <c r="E136" s="3"/>
      <c r="F136" s="4"/>
      <c r="G136" s="4"/>
      <c r="H136" s="4"/>
      <c r="I136" s="68"/>
      <c r="J136" s="72"/>
      <c r="K136" s="293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68"/>
      <c r="Y136" s="68"/>
      <c r="Z136" s="68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232"/>
      <c r="AW136" s="278"/>
      <c r="AX136" s="271"/>
      <c r="AY136" s="220"/>
      <c r="AZ136" s="5"/>
      <c r="BA136" s="68"/>
      <c r="BB136" s="229"/>
      <c r="BC136" s="230"/>
      <c r="BD136" s="238"/>
      <c r="BE136" s="238"/>
    </row>
    <row r="137" spans="1:57" ht="12.75">
      <c r="A137" s="97"/>
      <c r="B137" s="98"/>
      <c r="C137" s="98"/>
      <c r="D137" s="98"/>
      <c r="E137" s="99"/>
      <c r="F137" s="100"/>
      <c r="G137" s="100"/>
      <c r="H137" s="100"/>
      <c r="I137" s="100"/>
      <c r="J137" s="100"/>
      <c r="K137" s="294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283"/>
      <c r="AX137" s="100"/>
      <c r="AY137" s="100"/>
      <c r="AZ137" s="101"/>
      <c r="BA137" s="68"/>
      <c r="BB137" s="229"/>
      <c r="BC137" s="230"/>
      <c r="BD137" s="238"/>
      <c r="BE137" s="238"/>
    </row>
    <row r="138" spans="1:57" ht="12.75">
      <c r="A138" s="66"/>
      <c r="B138" s="67"/>
      <c r="C138" s="67"/>
      <c r="D138" s="67"/>
      <c r="E138" s="3"/>
      <c r="F138" s="4"/>
      <c r="G138" s="4"/>
      <c r="H138" s="4"/>
      <c r="I138" s="68"/>
      <c r="J138" s="72"/>
      <c r="K138" s="293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68"/>
      <c r="Y138" s="68"/>
      <c r="Z138" s="68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232"/>
      <c r="AW138" s="278"/>
      <c r="AX138" s="271"/>
      <c r="AY138" s="220"/>
      <c r="AZ138" s="5"/>
      <c r="BA138" s="68"/>
      <c r="BB138" s="229"/>
      <c r="BC138" s="230"/>
      <c r="BD138" s="238"/>
      <c r="BE138" s="238"/>
    </row>
    <row r="139" spans="1:57" ht="12.75">
      <c r="A139" s="73" t="s">
        <v>1</v>
      </c>
      <c r="B139" s="67" t="s">
        <v>41</v>
      </c>
      <c r="C139" s="74" t="s">
        <v>129</v>
      </c>
      <c r="D139" s="67">
        <v>89</v>
      </c>
      <c r="E139" s="3" t="s">
        <v>42</v>
      </c>
      <c r="F139" s="4">
        <v>88565</v>
      </c>
      <c r="G139" s="4">
        <v>0</v>
      </c>
      <c r="H139" s="26">
        <f aca="true" t="shared" si="72" ref="H139:H144">SUM(F139:G139)</f>
        <v>88565</v>
      </c>
      <c r="I139" s="68">
        <v>0</v>
      </c>
      <c r="J139" s="72">
        <f aca="true" t="shared" si="73" ref="J139:J144">SUM(H139:I139)</f>
        <v>88565</v>
      </c>
      <c r="K139" s="293"/>
      <c r="L139" s="4">
        <v>0</v>
      </c>
      <c r="M139" s="4">
        <v>-261</v>
      </c>
      <c r="N139" s="72">
        <f aca="true" t="shared" si="74" ref="N139:N144">SUM(J139:M139)</f>
        <v>88304</v>
      </c>
      <c r="O139" s="4"/>
      <c r="P139" s="4">
        <f aca="true" t="shared" si="75" ref="P139:P144">SUM(F139)</f>
        <v>88565</v>
      </c>
      <c r="Q139" s="4">
        <f aca="true" t="shared" si="76" ref="Q139:Q144">SUM(J139)</f>
        <v>88565</v>
      </c>
      <c r="R139" s="4">
        <f aca="true" t="shared" si="77" ref="R139:R144">SUM(L139+M139)</f>
        <v>-261</v>
      </c>
      <c r="S139" s="4">
        <v>0</v>
      </c>
      <c r="T139" s="4">
        <v>0</v>
      </c>
      <c r="U139" s="4">
        <f aca="true" t="shared" si="78" ref="U139:U144">SUM(Q139:T139)</f>
        <v>88304</v>
      </c>
      <c r="V139" s="4">
        <v>0</v>
      </c>
      <c r="W139" s="4">
        <v>0</v>
      </c>
      <c r="X139" s="68">
        <v>0</v>
      </c>
      <c r="Y139" s="68">
        <v>0</v>
      </c>
      <c r="Z139" s="68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4">
        <v>0</v>
      </c>
      <c r="AU139" s="4">
        <f aca="true" t="shared" si="79" ref="AU139:AU144">SUM(AY139-AX139)</f>
        <v>99</v>
      </c>
      <c r="AV139" s="232">
        <f aca="true" t="shared" si="80" ref="AV139:AV144">SUM(U139:AU139)</f>
        <v>88403</v>
      </c>
      <c r="AW139" s="278"/>
      <c r="AX139" s="272">
        <v>88304</v>
      </c>
      <c r="AY139" s="223">
        <f>88304+99</f>
        <v>88403</v>
      </c>
      <c r="AZ139" s="5">
        <f aca="true" t="shared" si="81" ref="AZ139:AZ144">SUM(AY139-AX139)</f>
        <v>99</v>
      </c>
      <c r="BA139" s="68"/>
      <c r="BB139" s="229"/>
      <c r="BC139" s="230"/>
      <c r="BD139" s="238"/>
      <c r="BE139" s="238"/>
    </row>
    <row r="140" spans="1:57" ht="12.75">
      <c r="A140" s="73" t="s">
        <v>1</v>
      </c>
      <c r="B140" s="67" t="s">
        <v>41</v>
      </c>
      <c r="C140" s="74" t="s">
        <v>129</v>
      </c>
      <c r="D140" s="67">
        <v>90</v>
      </c>
      <c r="E140" s="3" t="s">
        <v>43</v>
      </c>
      <c r="F140" s="4">
        <v>80211</v>
      </c>
      <c r="G140" s="4">
        <v>0</v>
      </c>
      <c r="H140" s="26">
        <f t="shared" si="72"/>
        <v>80211</v>
      </c>
      <c r="I140" s="68">
        <v>0</v>
      </c>
      <c r="J140" s="72">
        <f t="shared" si="73"/>
        <v>80211</v>
      </c>
      <c r="K140" s="293"/>
      <c r="L140" s="4">
        <v>0</v>
      </c>
      <c r="M140" s="4">
        <v>-237</v>
      </c>
      <c r="N140" s="72">
        <f t="shared" si="74"/>
        <v>79974</v>
      </c>
      <c r="O140" s="4"/>
      <c r="P140" s="4">
        <f t="shared" si="75"/>
        <v>80211</v>
      </c>
      <c r="Q140" s="4">
        <f t="shared" si="76"/>
        <v>80211</v>
      </c>
      <c r="R140" s="4">
        <f t="shared" si="77"/>
        <v>-237</v>
      </c>
      <c r="S140" s="4">
        <v>0</v>
      </c>
      <c r="T140" s="4">
        <v>0</v>
      </c>
      <c r="U140" s="4">
        <f t="shared" si="78"/>
        <v>79974</v>
      </c>
      <c r="V140" s="4">
        <v>0</v>
      </c>
      <c r="W140" s="4">
        <v>0</v>
      </c>
      <c r="X140" s="68">
        <v>0</v>
      </c>
      <c r="Y140" s="68">
        <v>0</v>
      </c>
      <c r="Z140" s="68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>
        <v>0</v>
      </c>
      <c r="AU140" s="4">
        <f t="shared" si="79"/>
        <v>-99</v>
      </c>
      <c r="AV140" s="232">
        <f t="shared" si="80"/>
        <v>79875</v>
      </c>
      <c r="AW140" s="278"/>
      <c r="AX140" s="272">
        <v>79974</v>
      </c>
      <c r="AY140" s="223">
        <f>79974-99</f>
        <v>79875</v>
      </c>
      <c r="AZ140" s="5">
        <f t="shared" si="81"/>
        <v>-99</v>
      </c>
      <c r="BA140" s="68"/>
      <c r="BB140" s="129"/>
      <c r="BC140" s="129"/>
      <c r="BD140" s="238"/>
      <c r="BE140" s="238"/>
    </row>
    <row r="141" spans="1:57" ht="12.75">
      <c r="A141" s="73" t="s">
        <v>1</v>
      </c>
      <c r="B141" s="67" t="s">
        <v>41</v>
      </c>
      <c r="C141" s="74" t="s">
        <v>129</v>
      </c>
      <c r="D141" s="67">
        <v>91</v>
      </c>
      <c r="E141" s="3" t="s">
        <v>44</v>
      </c>
      <c r="F141" s="4">
        <v>22299</v>
      </c>
      <c r="G141" s="4">
        <v>3280</v>
      </c>
      <c r="H141" s="26">
        <f t="shared" si="72"/>
        <v>25579</v>
      </c>
      <c r="I141" s="68">
        <v>0</v>
      </c>
      <c r="J141" s="72">
        <f t="shared" si="73"/>
        <v>25579</v>
      </c>
      <c r="K141" s="293"/>
      <c r="L141" s="4">
        <v>0</v>
      </c>
      <c r="M141" s="4">
        <v>-75</v>
      </c>
      <c r="N141" s="72">
        <f t="shared" si="74"/>
        <v>25504</v>
      </c>
      <c r="O141" s="4"/>
      <c r="P141" s="4">
        <f t="shared" si="75"/>
        <v>22299</v>
      </c>
      <c r="Q141" s="4">
        <f t="shared" si="76"/>
        <v>25579</v>
      </c>
      <c r="R141" s="4">
        <f t="shared" si="77"/>
        <v>-75</v>
      </c>
      <c r="S141" s="4">
        <v>0</v>
      </c>
      <c r="T141" s="4">
        <v>0</v>
      </c>
      <c r="U141" s="4">
        <f t="shared" si="78"/>
        <v>25504</v>
      </c>
      <c r="V141" s="4">
        <v>0</v>
      </c>
      <c r="W141" s="4">
        <v>0</v>
      </c>
      <c r="X141" s="68">
        <v>0</v>
      </c>
      <c r="Y141" s="68">
        <v>0</v>
      </c>
      <c r="Z141" s="68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4">
        <v>0</v>
      </c>
      <c r="AU141" s="4">
        <f t="shared" si="79"/>
        <v>-5100</v>
      </c>
      <c r="AV141" s="232">
        <f t="shared" si="80"/>
        <v>20404</v>
      </c>
      <c r="AW141" s="278"/>
      <c r="AX141" s="272">
        <v>25504</v>
      </c>
      <c r="AY141" s="223">
        <f>25504-5100</f>
        <v>20404</v>
      </c>
      <c r="AZ141" s="5">
        <f t="shared" si="81"/>
        <v>-5100</v>
      </c>
      <c r="BA141" s="68"/>
      <c r="BB141" s="229"/>
      <c r="BC141" s="230"/>
      <c r="BD141" s="238"/>
      <c r="BE141" s="238"/>
    </row>
    <row r="142" spans="1:57" ht="12.75">
      <c r="A142" s="73" t="s">
        <v>1</v>
      </c>
      <c r="B142" s="67" t="s">
        <v>41</v>
      </c>
      <c r="C142" s="74" t="s">
        <v>129</v>
      </c>
      <c r="D142" s="67">
        <v>92</v>
      </c>
      <c r="E142" s="3" t="s">
        <v>45</v>
      </c>
      <c r="F142" s="4">
        <v>38702</v>
      </c>
      <c r="G142" s="4">
        <v>0</v>
      </c>
      <c r="H142" s="26">
        <f t="shared" si="72"/>
        <v>38702</v>
      </c>
      <c r="I142" s="68">
        <v>0</v>
      </c>
      <c r="J142" s="72">
        <f t="shared" si="73"/>
        <v>38702</v>
      </c>
      <c r="K142" s="293"/>
      <c r="L142" s="4">
        <v>0</v>
      </c>
      <c r="M142" s="4">
        <v>-114</v>
      </c>
      <c r="N142" s="72">
        <f t="shared" si="74"/>
        <v>38588</v>
      </c>
      <c r="O142" s="4"/>
      <c r="P142" s="4">
        <f t="shared" si="75"/>
        <v>38702</v>
      </c>
      <c r="Q142" s="4">
        <f t="shared" si="76"/>
        <v>38702</v>
      </c>
      <c r="R142" s="4">
        <f t="shared" si="77"/>
        <v>-114</v>
      </c>
      <c r="S142" s="4">
        <v>0</v>
      </c>
      <c r="T142" s="4">
        <v>0</v>
      </c>
      <c r="U142" s="4">
        <f t="shared" si="78"/>
        <v>38588</v>
      </c>
      <c r="V142" s="4">
        <v>0</v>
      </c>
      <c r="W142" s="4">
        <v>0</v>
      </c>
      <c r="X142" s="68">
        <v>0</v>
      </c>
      <c r="Y142" s="68">
        <v>0</v>
      </c>
      <c r="Z142" s="68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4">
        <f t="shared" si="79"/>
        <v>0</v>
      </c>
      <c r="AV142" s="232">
        <f t="shared" si="80"/>
        <v>38588</v>
      </c>
      <c r="AW142" s="278"/>
      <c r="AX142" s="272">
        <v>38588</v>
      </c>
      <c r="AY142" s="223">
        <v>38588</v>
      </c>
      <c r="AZ142" s="5">
        <f t="shared" si="81"/>
        <v>0</v>
      </c>
      <c r="BA142" s="68"/>
      <c r="BB142" s="229"/>
      <c r="BC142" s="230"/>
      <c r="BD142" s="238"/>
      <c r="BE142" s="238"/>
    </row>
    <row r="143" spans="1:57" ht="12.75">
      <c r="A143" s="73" t="s">
        <v>1</v>
      </c>
      <c r="B143" s="67" t="s">
        <v>41</v>
      </c>
      <c r="C143" s="74" t="s">
        <v>129</v>
      </c>
      <c r="D143" s="67">
        <v>93</v>
      </c>
      <c r="E143" s="3" t="s">
        <v>199</v>
      </c>
      <c r="F143" s="4">
        <v>37784</v>
      </c>
      <c r="G143" s="4">
        <v>0</v>
      </c>
      <c r="H143" s="26">
        <f t="shared" si="72"/>
        <v>37784</v>
      </c>
      <c r="I143" s="68">
        <v>0</v>
      </c>
      <c r="J143" s="72">
        <f t="shared" si="73"/>
        <v>37784</v>
      </c>
      <c r="K143" s="293"/>
      <c r="L143" s="4">
        <v>0</v>
      </c>
      <c r="M143" s="4">
        <v>-111</v>
      </c>
      <c r="N143" s="72">
        <f t="shared" si="74"/>
        <v>37673</v>
      </c>
      <c r="O143" s="4"/>
      <c r="P143" s="4">
        <f t="shared" si="75"/>
        <v>37784</v>
      </c>
      <c r="Q143" s="4">
        <f t="shared" si="76"/>
        <v>37784</v>
      </c>
      <c r="R143" s="4">
        <f t="shared" si="77"/>
        <v>-111</v>
      </c>
      <c r="S143" s="4">
        <v>0</v>
      </c>
      <c r="T143" s="4">
        <v>0</v>
      </c>
      <c r="U143" s="4">
        <f t="shared" si="78"/>
        <v>37673</v>
      </c>
      <c r="V143" s="4">
        <v>0</v>
      </c>
      <c r="W143" s="4">
        <v>0</v>
      </c>
      <c r="X143" s="68">
        <v>0</v>
      </c>
      <c r="Y143" s="68">
        <v>0</v>
      </c>
      <c r="Z143" s="68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4">
        <v>0</v>
      </c>
      <c r="AU143" s="4">
        <f t="shared" si="79"/>
        <v>0</v>
      </c>
      <c r="AV143" s="232">
        <f t="shared" si="80"/>
        <v>37673</v>
      </c>
      <c r="AW143" s="278"/>
      <c r="AX143" s="272">
        <v>37673</v>
      </c>
      <c r="AY143" s="223">
        <v>37673</v>
      </c>
      <c r="AZ143" s="5">
        <f t="shared" si="81"/>
        <v>0</v>
      </c>
      <c r="BA143" s="68"/>
      <c r="BB143" s="229"/>
      <c r="BC143" s="230"/>
      <c r="BD143" s="238"/>
      <c r="BE143" s="238"/>
    </row>
    <row r="144" spans="1:57" ht="13.5" thickBot="1">
      <c r="A144" s="73" t="s">
        <v>1</v>
      </c>
      <c r="B144" s="67" t="s">
        <v>41</v>
      </c>
      <c r="C144" s="74" t="s">
        <v>129</v>
      </c>
      <c r="D144" s="67">
        <v>94</v>
      </c>
      <c r="E144" s="3" t="s">
        <v>46</v>
      </c>
      <c r="F144" s="4">
        <v>199610</v>
      </c>
      <c r="G144" s="4">
        <f>-18950-2500+4000+4000</f>
        <v>-13450</v>
      </c>
      <c r="H144" s="26">
        <f t="shared" si="72"/>
        <v>186160</v>
      </c>
      <c r="I144" s="68">
        <v>0</v>
      </c>
      <c r="J144" s="72">
        <f t="shared" si="73"/>
        <v>186160</v>
      </c>
      <c r="K144" s="293"/>
      <c r="L144" s="4">
        <v>0</v>
      </c>
      <c r="M144" s="4">
        <v>-549</v>
      </c>
      <c r="N144" s="72">
        <f t="shared" si="74"/>
        <v>185611</v>
      </c>
      <c r="O144" s="4"/>
      <c r="P144" s="4">
        <f t="shared" si="75"/>
        <v>199610</v>
      </c>
      <c r="Q144" s="4">
        <f t="shared" si="76"/>
        <v>186160</v>
      </c>
      <c r="R144" s="4">
        <f t="shared" si="77"/>
        <v>-549</v>
      </c>
      <c r="S144" s="4">
        <v>0</v>
      </c>
      <c r="T144" s="4">
        <v>0</v>
      </c>
      <c r="U144" s="4">
        <f t="shared" si="78"/>
        <v>185611</v>
      </c>
      <c r="V144" s="4">
        <v>0</v>
      </c>
      <c r="W144" s="4">
        <v>0</v>
      </c>
      <c r="X144" s="68">
        <v>0</v>
      </c>
      <c r="Y144" s="68">
        <v>0</v>
      </c>
      <c r="Z144" s="68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f t="shared" si="79"/>
        <v>5100</v>
      </c>
      <c r="AV144" s="232">
        <f t="shared" si="80"/>
        <v>190711</v>
      </c>
      <c r="AW144" s="278"/>
      <c r="AX144" s="272">
        <v>185611</v>
      </c>
      <c r="AY144" s="223">
        <f>185611+5100</f>
        <v>190711</v>
      </c>
      <c r="AZ144" s="5">
        <f t="shared" si="81"/>
        <v>5100</v>
      </c>
      <c r="BA144" s="68"/>
      <c r="BB144" s="229"/>
      <c r="BC144" s="230"/>
      <c r="BD144" s="238"/>
      <c r="BE144" s="238"/>
    </row>
    <row r="145" spans="1:57" s="11" customFormat="1" ht="13.5" thickBot="1">
      <c r="A145" s="48"/>
      <c r="B145" s="295"/>
      <c r="C145" s="295"/>
      <c r="D145" s="295"/>
      <c r="E145" s="306" t="s">
        <v>142</v>
      </c>
      <c r="F145" s="297">
        <f>SUM(F139:F144)</f>
        <v>467171</v>
      </c>
      <c r="G145" s="297">
        <f>SUM(G139:G144)</f>
        <v>-10170</v>
      </c>
      <c r="H145" s="297">
        <f>SUM(H139:H144)</f>
        <v>457001</v>
      </c>
      <c r="I145" s="298">
        <f>SUM(I139:I144)</f>
        <v>0</v>
      </c>
      <c r="J145" s="299">
        <f>SUM(J139:J144)</f>
        <v>457001</v>
      </c>
      <c r="K145" s="300"/>
      <c r="L145" s="297">
        <f>SUM(L139:L144)</f>
        <v>0</v>
      </c>
      <c r="M145" s="297">
        <f>SUM(M139:M144)</f>
        <v>-1347</v>
      </c>
      <c r="N145" s="299">
        <f>SUM(N139:N144)</f>
        <v>455654</v>
      </c>
      <c r="O145" s="297"/>
      <c r="P145" s="297">
        <f aca="true" t="shared" si="82" ref="P145:AV145">SUM(P139:P144)</f>
        <v>467171</v>
      </c>
      <c r="Q145" s="297">
        <f t="shared" si="82"/>
        <v>457001</v>
      </c>
      <c r="R145" s="297">
        <f t="shared" si="82"/>
        <v>-1347</v>
      </c>
      <c r="S145" s="297">
        <f t="shared" si="82"/>
        <v>0</v>
      </c>
      <c r="T145" s="297">
        <f t="shared" si="82"/>
        <v>0</v>
      </c>
      <c r="U145" s="297">
        <f t="shared" si="82"/>
        <v>455654</v>
      </c>
      <c r="V145" s="297">
        <f t="shared" si="82"/>
        <v>0</v>
      </c>
      <c r="W145" s="297">
        <f t="shared" si="82"/>
        <v>0</v>
      </c>
      <c r="X145" s="298">
        <f t="shared" si="82"/>
        <v>0</v>
      </c>
      <c r="Y145" s="298">
        <f>SUM(Y139:Y144)</f>
        <v>0</v>
      </c>
      <c r="Z145" s="298">
        <f>SUM(Z139:Z144)</f>
        <v>0</v>
      </c>
      <c r="AA145" s="297">
        <f t="shared" si="82"/>
        <v>0</v>
      </c>
      <c r="AB145" s="297">
        <f t="shared" si="82"/>
        <v>0</v>
      </c>
      <c r="AC145" s="297">
        <f t="shared" si="82"/>
        <v>0</v>
      </c>
      <c r="AD145" s="297">
        <f t="shared" si="82"/>
        <v>0</v>
      </c>
      <c r="AE145" s="297">
        <f t="shared" si="82"/>
        <v>0</v>
      </c>
      <c r="AF145" s="297">
        <f t="shared" si="82"/>
        <v>0</v>
      </c>
      <c r="AG145" s="297">
        <f t="shared" si="82"/>
        <v>0</v>
      </c>
      <c r="AH145" s="297">
        <f t="shared" si="82"/>
        <v>0</v>
      </c>
      <c r="AI145" s="297">
        <f t="shared" si="82"/>
        <v>0</v>
      </c>
      <c r="AJ145" s="297">
        <f t="shared" si="82"/>
        <v>0</v>
      </c>
      <c r="AK145" s="297">
        <f t="shared" si="82"/>
        <v>0</v>
      </c>
      <c r="AL145" s="297">
        <f t="shared" si="82"/>
        <v>0</v>
      </c>
      <c r="AM145" s="297">
        <f t="shared" si="82"/>
        <v>0</v>
      </c>
      <c r="AN145" s="297">
        <f t="shared" si="82"/>
        <v>0</v>
      </c>
      <c r="AO145" s="297">
        <f t="shared" si="82"/>
        <v>0</v>
      </c>
      <c r="AP145" s="297">
        <f t="shared" si="82"/>
        <v>0</v>
      </c>
      <c r="AQ145" s="297">
        <f t="shared" si="82"/>
        <v>0</v>
      </c>
      <c r="AR145" s="297">
        <f t="shared" si="82"/>
        <v>0</v>
      </c>
      <c r="AS145" s="297">
        <f t="shared" si="82"/>
        <v>0</v>
      </c>
      <c r="AT145" s="297">
        <f t="shared" si="82"/>
        <v>0</v>
      </c>
      <c r="AU145" s="297">
        <f t="shared" si="82"/>
        <v>0</v>
      </c>
      <c r="AV145" s="301">
        <f t="shared" si="82"/>
        <v>455654</v>
      </c>
      <c r="AW145" s="302"/>
      <c r="AX145" s="303">
        <f>SUM(AX139:AX144)</f>
        <v>455654</v>
      </c>
      <c r="AY145" s="304">
        <f>SUM(AY139:AY144)</f>
        <v>455654</v>
      </c>
      <c r="AZ145" s="305">
        <f>SUM(AZ139:AZ144)</f>
        <v>0</v>
      </c>
      <c r="BA145" s="79"/>
      <c r="BB145" s="129"/>
      <c r="BC145" s="230"/>
      <c r="BD145" s="52"/>
      <c r="BE145" s="52"/>
    </row>
    <row r="146" spans="1:57" ht="13.5" thickBot="1">
      <c r="A146" s="66"/>
      <c r="B146" s="67"/>
      <c r="C146" s="67"/>
      <c r="D146" s="67"/>
      <c r="E146" s="3"/>
      <c r="F146" s="4"/>
      <c r="G146" s="4"/>
      <c r="H146" s="4"/>
      <c r="I146" s="68"/>
      <c r="J146" s="72"/>
      <c r="K146" s="293"/>
      <c r="L146" s="4"/>
      <c r="M146" s="4"/>
      <c r="N146" s="72"/>
      <c r="O146" s="4"/>
      <c r="P146" s="4"/>
      <c r="Q146" s="4"/>
      <c r="R146" s="4"/>
      <c r="S146" s="4"/>
      <c r="T146" s="4"/>
      <c r="U146" s="4"/>
      <c r="V146" s="4"/>
      <c r="W146" s="4"/>
      <c r="X146" s="68"/>
      <c r="Y146" s="68"/>
      <c r="Z146" s="68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232"/>
      <c r="AW146" s="278"/>
      <c r="AX146" s="271"/>
      <c r="AY146" s="220"/>
      <c r="AZ146" s="5"/>
      <c r="BA146" s="68"/>
      <c r="BB146" s="229"/>
      <c r="BC146" s="230"/>
      <c r="BD146" s="238"/>
      <c r="BE146" s="238"/>
    </row>
    <row r="147" spans="1:57" s="11" customFormat="1" ht="13.5" thickBot="1">
      <c r="A147" s="340"/>
      <c r="B147" s="341"/>
      <c r="C147" s="341"/>
      <c r="D147" s="341"/>
      <c r="E147" s="342" t="s">
        <v>217</v>
      </c>
      <c r="F147" s="218">
        <f>SUM(F145)</f>
        <v>467171</v>
      </c>
      <c r="G147" s="218">
        <f aca="true" t="shared" si="83" ref="G147:AZ147">SUM(G145)</f>
        <v>-10170</v>
      </c>
      <c r="H147" s="218">
        <f t="shared" si="83"/>
        <v>457001</v>
      </c>
      <c r="I147" s="218">
        <f t="shared" si="83"/>
        <v>0</v>
      </c>
      <c r="J147" s="218">
        <f t="shared" si="83"/>
        <v>457001</v>
      </c>
      <c r="K147" s="38"/>
      <c r="L147" s="218">
        <f t="shared" si="83"/>
        <v>0</v>
      </c>
      <c r="M147" s="218">
        <f t="shared" si="83"/>
        <v>-1347</v>
      </c>
      <c r="N147" s="218">
        <f t="shared" si="83"/>
        <v>455654</v>
      </c>
      <c r="O147" s="218"/>
      <c r="P147" s="218">
        <f t="shared" si="83"/>
        <v>467171</v>
      </c>
      <c r="Q147" s="218">
        <f t="shared" si="83"/>
        <v>457001</v>
      </c>
      <c r="R147" s="218">
        <f t="shared" si="83"/>
        <v>-1347</v>
      </c>
      <c r="S147" s="218">
        <f t="shared" si="83"/>
        <v>0</v>
      </c>
      <c r="T147" s="218">
        <f t="shared" si="83"/>
        <v>0</v>
      </c>
      <c r="U147" s="218">
        <f t="shared" si="83"/>
        <v>455654</v>
      </c>
      <c r="V147" s="218">
        <f t="shared" si="83"/>
        <v>0</v>
      </c>
      <c r="W147" s="218">
        <f t="shared" si="83"/>
        <v>0</v>
      </c>
      <c r="X147" s="218">
        <f t="shared" si="83"/>
        <v>0</v>
      </c>
      <c r="Y147" s="218">
        <f t="shared" si="83"/>
        <v>0</v>
      </c>
      <c r="Z147" s="218">
        <f t="shared" si="83"/>
        <v>0</v>
      </c>
      <c r="AA147" s="218">
        <f t="shared" si="83"/>
        <v>0</v>
      </c>
      <c r="AB147" s="218">
        <f t="shared" si="83"/>
        <v>0</v>
      </c>
      <c r="AC147" s="218">
        <f t="shared" si="83"/>
        <v>0</v>
      </c>
      <c r="AD147" s="218">
        <f t="shared" si="83"/>
        <v>0</v>
      </c>
      <c r="AE147" s="218">
        <f aca="true" t="shared" si="84" ref="AE147:AT147">SUM(AE145)</f>
        <v>0</v>
      </c>
      <c r="AF147" s="218">
        <f t="shared" si="84"/>
        <v>0</v>
      </c>
      <c r="AG147" s="218">
        <f t="shared" si="84"/>
        <v>0</v>
      </c>
      <c r="AH147" s="218">
        <f t="shared" si="84"/>
        <v>0</v>
      </c>
      <c r="AI147" s="218">
        <f t="shared" si="84"/>
        <v>0</v>
      </c>
      <c r="AJ147" s="218">
        <f>SUM(AJ145)</f>
        <v>0</v>
      </c>
      <c r="AK147" s="218">
        <f>SUM(AK145)</f>
        <v>0</v>
      </c>
      <c r="AL147" s="218">
        <f>SUM(AL145)</f>
        <v>0</v>
      </c>
      <c r="AM147" s="218">
        <f t="shared" si="84"/>
        <v>0</v>
      </c>
      <c r="AN147" s="218">
        <f>SUM(AN145)</f>
        <v>0</v>
      </c>
      <c r="AO147" s="218">
        <f t="shared" si="84"/>
        <v>0</v>
      </c>
      <c r="AP147" s="218">
        <f t="shared" si="84"/>
        <v>0</v>
      </c>
      <c r="AQ147" s="218">
        <f>SUM(AQ145)</f>
        <v>0</v>
      </c>
      <c r="AR147" s="218">
        <f>SUM(AR145)</f>
        <v>0</v>
      </c>
      <c r="AS147" s="218">
        <f>SUM(AS145)</f>
        <v>0</v>
      </c>
      <c r="AT147" s="218">
        <f t="shared" si="84"/>
        <v>0</v>
      </c>
      <c r="AU147" s="218">
        <f t="shared" si="83"/>
        <v>0</v>
      </c>
      <c r="AV147" s="218">
        <f t="shared" si="83"/>
        <v>455654</v>
      </c>
      <c r="AW147" s="343"/>
      <c r="AX147" s="218">
        <f t="shared" si="83"/>
        <v>455654</v>
      </c>
      <c r="AY147" s="218">
        <f t="shared" si="83"/>
        <v>455654</v>
      </c>
      <c r="AZ147" s="39">
        <f t="shared" si="83"/>
        <v>0</v>
      </c>
      <c r="BA147" s="79"/>
      <c r="BB147" s="129"/>
      <c r="BC147" s="230"/>
      <c r="BD147" s="52"/>
      <c r="BE147" s="52"/>
    </row>
    <row r="148" spans="1:57" ht="12.75">
      <c r="A148" s="66"/>
      <c r="B148" s="67"/>
      <c r="C148" s="67"/>
      <c r="D148" s="67"/>
      <c r="E148" s="3"/>
      <c r="F148" s="4"/>
      <c r="G148" s="4"/>
      <c r="H148" s="4"/>
      <c r="I148" s="68"/>
      <c r="J148" s="68"/>
      <c r="K148" s="293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68"/>
      <c r="Y148" s="68"/>
      <c r="Z148" s="68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232"/>
      <c r="AW148" s="278"/>
      <c r="AX148" s="271"/>
      <c r="AY148" s="220"/>
      <c r="AZ148" s="5"/>
      <c r="BA148" s="68"/>
      <c r="BB148" s="229"/>
      <c r="BC148" s="230"/>
      <c r="BD148" s="238"/>
      <c r="BE148" s="238"/>
    </row>
    <row r="149" spans="1:57" ht="12.75">
      <c r="A149" s="97"/>
      <c r="B149" s="98"/>
      <c r="C149" s="98"/>
      <c r="D149" s="98"/>
      <c r="E149" s="99"/>
      <c r="F149" s="100"/>
      <c r="G149" s="100"/>
      <c r="H149" s="100"/>
      <c r="I149" s="100"/>
      <c r="J149" s="100"/>
      <c r="K149" s="294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283"/>
      <c r="AX149" s="100"/>
      <c r="AY149" s="100"/>
      <c r="AZ149" s="101"/>
      <c r="BA149" s="68"/>
      <c r="BB149" s="229"/>
      <c r="BC149" s="230"/>
      <c r="BD149" s="238"/>
      <c r="BE149" s="238"/>
    </row>
    <row r="150" spans="1:57" ht="12.75">
      <c r="A150" s="66"/>
      <c r="B150" s="67"/>
      <c r="C150" s="67"/>
      <c r="D150" s="67"/>
      <c r="E150" s="3"/>
      <c r="F150" s="4"/>
      <c r="G150" s="4"/>
      <c r="H150" s="4"/>
      <c r="I150" s="68"/>
      <c r="J150" s="68"/>
      <c r="K150" s="293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68"/>
      <c r="Y150" s="68"/>
      <c r="Z150" s="68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232"/>
      <c r="AW150" s="278"/>
      <c r="AX150" s="271"/>
      <c r="AY150" s="220"/>
      <c r="AZ150" s="5"/>
      <c r="BA150" s="68"/>
      <c r="BB150" s="229"/>
      <c r="BC150" s="230"/>
      <c r="BD150" s="238"/>
      <c r="BE150" s="238"/>
    </row>
    <row r="151" spans="1:57" ht="12.75">
      <c r="A151" s="73" t="s">
        <v>1</v>
      </c>
      <c r="B151" s="67" t="s">
        <v>218</v>
      </c>
      <c r="C151" s="74" t="s">
        <v>30</v>
      </c>
      <c r="D151" s="67">
        <v>95</v>
      </c>
      <c r="E151" s="3" t="s">
        <v>226</v>
      </c>
      <c r="F151" s="4">
        <f>57100-57100</f>
        <v>0</v>
      </c>
      <c r="G151" s="4">
        <v>0</v>
      </c>
      <c r="H151" s="26">
        <v>57100</v>
      </c>
      <c r="I151" s="68">
        <v>0</v>
      </c>
      <c r="J151" s="72">
        <f>SUM(H151:I151)</f>
        <v>57100</v>
      </c>
      <c r="K151" s="293"/>
      <c r="L151" s="4">
        <v>0</v>
      </c>
      <c r="M151" s="4">
        <v>-168</v>
      </c>
      <c r="N151" s="72">
        <f>SUM(J151:M151)</f>
        <v>56932</v>
      </c>
      <c r="O151" s="4"/>
      <c r="P151" s="4">
        <f>SUM(F151)</f>
        <v>0</v>
      </c>
      <c r="Q151" s="4">
        <f>SUM(J151)</f>
        <v>57100</v>
      </c>
      <c r="R151" s="4">
        <f>SUM(L151+M151)</f>
        <v>-168</v>
      </c>
      <c r="S151" s="4">
        <v>0</v>
      </c>
      <c r="T151" s="4">
        <v>0</v>
      </c>
      <c r="U151" s="4">
        <f>SUM(Q151:T151)</f>
        <v>56932</v>
      </c>
      <c r="V151" s="4">
        <v>0</v>
      </c>
      <c r="W151" s="4">
        <v>0</v>
      </c>
      <c r="X151" s="68">
        <v>0</v>
      </c>
      <c r="Y151" s="68">
        <v>0</v>
      </c>
      <c r="Z151" s="68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45000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f>SUM(AY151-AX151)</f>
        <v>0</v>
      </c>
      <c r="AV151" s="232">
        <f>SUM(U151:AU151)</f>
        <v>101932</v>
      </c>
      <c r="AW151" s="278"/>
      <c r="AX151" s="272">
        <f>56932+45000</f>
        <v>101932</v>
      </c>
      <c r="AY151" s="223">
        <f>56932+45000</f>
        <v>101932</v>
      </c>
      <c r="AZ151" s="5">
        <f>SUM(AY151-AX151)</f>
        <v>0</v>
      </c>
      <c r="BA151" s="68"/>
      <c r="BB151" s="229"/>
      <c r="BC151" s="230"/>
      <c r="BD151" s="238"/>
      <c r="BE151" s="238"/>
    </row>
    <row r="152" spans="1:57" ht="13.5" thickBot="1">
      <c r="A152" s="66"/>
      <c r="B152" s="67"/>
      <c r="C152" s="74" t="s">
        <v>30</v>
      </c>
      <c r="D152" s="67">
        <v>95</v>
      </c>
      <c r="E152" s="3" t="s">
        <v>227</v>
      </c>
      <c r="F152" s="4">
        <f>105000-105000</f>
        <v>0</v>
      </c>
      <c r="G152" s="4">
        <v>0</v>
      </c>
      <c r="H152" s="26">
        <v>105000</v>
      </c>
      <c r="I152" s="68">
        <v>0</v>
      </c>
      <c r="J152" s="72">
        <f>SUM(H152:I152)</f>
        <v>105000</v>
      </c>
      <c r="K152" s="293"/>
      <c r="L152" s="4">
        <v>0</v>
      </c>
      <c r="M152" s="4">
        <v>-310</v>
      </c>
      <c r="N152" s="72">
        <f>SUM(J152:M152)</f>
        <v>104690</v>
      </c>
      <c r="O152" s="4"/>
      <c r="P152" s="4">
        <f>SUM(F152)</f>
        <v>0</v>
      </c>
      <c r="Q152" s="4">
        <f>SUM(J152)</f>
        <v>105000</v>
      </c>
      <c r="R152" s="4">
        <f>SUM(L152+M152)</f>
        <v>-310</v>
      </c>
      <c r="S152" s="4">
        <v>0</v>
      </c>
      <c r="T152" s="4">
        <v>0</v>
      </c>
      <c r="U152" s="4">
        <f>SUM(Q152:T152)</f>
        <v>104690</v>
      </c>
      <c r="V152" s="4">
        <v>0</v>
      </c>
      <c r="W152" s="4">
        <v>0</v>
      </c>
      <c r="X152" s="68">
        <v>0</v>
      </c>
      <c r="Y152" s="68">
        <v>0</v>
      </c>
      <c r="Z152" s="68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f>SUM(AY152-AX152)</f>
        <v>0</v>
      </c>
      <c r="AV152" s="232">
        <f>SUM(U152:AU152)</f>
        <v>104690</v>
      </c>
      <c r="AW152" s="278"/>
      <c r="AX152" s="272">
        <v>104690</v>
      </c>
      <c r="AY152" s="223">
        <v>104690</v>
      </c>
      <c r="AZ152" s="5">
        <f>SUM(AY152-AX152)</f>
        <v>0</v>
      </c>
      <c r="BA152" s="68"/>
      <c r="BB152" s="229"/>
      <c r="BC152" s="230"/>
      <c r="BD152" s="347" t="s">
        <v>260</v>
      </c>
      <c r="BE152" s="238"/>
    </row>
    <row r="153" spans="1:57" s="11" customFormat="1" ht="13.5" thickBot="1">
      <c r="A153" s="48"/>
      <c r="B153" s="295"/>
      <c r="C153" s="295"/>
      <c r="D153" s="295"/>
      <c r="E153" s="306" t="s">
        <v>228</v>
      </c>
      <c r="F153" s="297">
        <f>SUM(F151:F152)</f>
        <v>0</v>
      </c>
      <c r="G153" s="297">
        <f>SUM(G151:G152)</f>
        <v>0</v>
      </c>
      <c r="H153" s="297">
        <f>SUM(H151:H152)</f>
        <v>162100</v>
      </c>
      <c r="I153" s="298">
        <f>SUM(I151:I152)</f>
        <v>0</v>
      </c>
      <c r="J153" s="299">
        <f>SUM(J151:J152)</f>
        <v>162100</v>
      </c>
      <c r="K153" s="300"/>
      <c r="L153" s="298">
        <f>SUM(L147:L152)</f>
        <v>0</v>
      </c>
      <c r="M153" s="298">
        <f>SUM(M151:M152)</f>
        <v>-478</v>
      </c>
      <c r="N153" s="299">
        <f>SUM(N151:N152)</f>
        <v>161622</v>
      </c>
      <c r="O153" s="297"/>
      <c r="P153" s="297">
        <f aca="true" t="shared" si="85" ref="P153:AA153">SUM(P151:P152)</f>
        <v>0</v>
      </c>
      <c r="Q153" s="297">
        <f t="shared" si="85"/>
        <v>162100</v>
      </c>
      <c r="R153" s="297">
        <f t="shared" si="85"/>
        <v>-478</v>
      </c>
      <c r="S153" s="297">
        <f t="shared" si="85"/>
        <v>0</v>
      </c>
      <c r="T153" s="297">
        <f t="shared" si="85"/>
        <v>0</v>
      </c>
      <c r="U153" s="297">
        <f t="shared" si="85"/>
        <v>161622</v>
      </c>
      <c r="V153" s="297">
        <f t="shared" si="85"/>
        <v>0</v>
      </c>
      <c r="W153" s="297">
        <f t="shared" si="85"/>
        <v>0</v>
      </c>
      <c r="X153" s="298">
        <f t="shared" si="85"/>
        <v>0</v>
      </c>
      <c r="Y153" s="298">
        <f>SUM(Y151:Y152)</f>
        <v>0</v>
      </c>
      <c r="Z153" s="298">
        <f>SUM(Z151:Z152)</f>
        <v>0</v>
      </c>
      <c r="AA153" s="297">
        <f t="shared" si="85"/>
        <v>0</v>
      </c>
      <c r="AB153" s="297">
        <f aca="true" t="shared" si="86" ref="AB153:AV153">SUM(AB151:AB152)</f>
        <v>0</v>
      </c>
      <c r="AC153" s="297">
        <f t="shared" si="86"/>
        <v>0</v>
      </c>
      <c r="AD153" s="297">
        <f t="shared" si="86"/>
        <v>0</v>
      </c>
      <c r="AE153" s="297">
        <f t="shared" si="86"/>
        <v>0</v>
      </c>
      <c r="AF153" s="297">
        <f t="shared" si="86"/>
        <v>0</v>
      </c>
      <c r="AG153" s="297">
        <f t="shared" si="86"/>
        <v>0</v>
      </c>
      <c r="AH153" s="297">
        <f t="shared" si="86"/>
        <v>0</v>
      </c>
      <c r="AI153" s="297">
        <f t="shared" si="86"/>
        <v>0</v>
      </c>
      <c r="AJ153" s="297">
        <f t="shared" si="86"/>
        <v>0</v>
      </c>
      <c r="AK153" s="297">
        <f t="shared" si="86"/>
        <v>45000</v>
      </c>
      <c r="AL153" s="297">
        <f t="shared" si="86"/>
        <v>0</v>
      </c>
      <c r="AM153" s="297">
        <f t="shared" si="86"/>
        <v>0</v>
      </c>
      <c r="AN153" s="297">
        <f t="shared" si="86"/>
        <v>0</v>
      </c>
      <c r="AO153" s="297">
        <f t="shared" si="86"/>
        <v>0</v>
      </c>
      <c r="AP153" s="297">
        <f t="shared" si="86"/>
        <v>0</v>
      </c>
      <c r="AQ153" s="297">
        <f t="shared" si="86"/>
        <v>0</v>
      </c>
      <c r="AR153" s="297">
        <f t="shared" si="86"/>
        <v>0</v>
      </c>
      <c r="AS153" s="297">
        <f t="shared" si="86"/>
        <v>0</v>
      </c>
      <c r="AT153" s="297">
        <f t="shared" si="86"/>
        <v>0</v>
      </c>
      <c r="AU153" s="297">
        <f t="shared" si="86"/>
        <v>0</v>
      </c>
      <c r="AV153" s="301">
        <f t="shared" si="86"/>
        <v>206622</v>
      </c>
      <c r="AW153" s="344"/>
      <c r="AX153" s="303">
        <f>SUM(AX151:AX152)</f>
        <v>206622</v>
      </c>
      <c r="AY153" s="304">
        <f>SUM(AY151:AY152)</f>
        <v>206622</v>
      </c>
      <c r="AZ153" s="305">
        <f>SUM(AZ151:AZ152)</f>
        <v>0</v>
      </c>
      <c r="BA153" s="79"/>
      <c r="BB153" s="129"/>
      <c r="BC153" s="230"/>
      <c r="BD153" s="52"/>
      <c r="BE153" s="52"/>
    </row>
    <row r="154" spans="1:57" ht="13.5" thickBot="1">
      <c r="A154" s="66"/>
      <c r="B154" s="67"/>
      <c r="C154" s="67"/>
      <c r="D154" s="67"/>
      <c r="E154" s="3"/>
      <c r="F154" s="4"/>
      <c r="G154" s="4"/>
      <c r="H154" s="4"/>
      <c r="I154" s="68"/>
      <c r="J154" s="72"/>
      <c r="K154" s="293"/>
      <c r="L154" s="4"/>
      <c r="M154" s="4"/>
      <c r="N154" s="72"/>
      <c r="O154" s="4"/>
      <c r="P154" s="4"/>
      <c r="Q154" s="4"/>
      <c r="R154" s="4"/>
      <c r="S154" s="4"/>
      <c r="T154" s="4"/>
      <c r="U154" s="4"/>
      <c r="V154" s="4"/>
      <c r="W154" s="4"/>
      <c r="X154" s="68"/>
      <c r="Y154" s="68"/>
      <c r="Z154" s="68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232"/>
      <c r="AW154" s="278"/>
      <c r="AX154" s="271"/>
      <c r="AY154" s="220"/>
      <c r="AZ154" s="5"/>
      <c r="BA154" s="68"/>
      <c r="BB154" s="229"/>
      <c r="BC154" s="230"/>
      <c r="BD154" s="238"/>
      <c r="BE154" s="238"/>
    </row>
    <row r="155" spans="1:57" s="11" customFormat="1" ht="13.5" thickBot="1">
      <c r="A155" s="340"/>
      <c r="B155" s="341"/>
      <c r="C155" s="341"/>
      <c r="D155" s="341"/>
      <c r="E155" s="342" t="s">
        <v>215</v>
      </c>
      <c r="F155" s="218">
        <f>SUM(F153)</f>
        <v>0</v>
      </c>
      <c r="G155" s="218">
        <f aca="true" t="shared" si="87" ref="G155:AZ155">SUM(G153)</f>
        <v>0</v>
      </c>
      <c r="H155" s="218">
        <f t="shared" si="87"/>
        <v>162100</v>
      </c>
      <c r="I155" s="218">
        <f t="shared" si="87"/>
        <v>0</v>
      </c>
      <c r="J155" s="218">
        <f t="shared" si="87"/>
        <v>162100</v>
      </c>
      <c r="K155" s="38"/>
      <c r="L155" s="218">
        <f t="shared" si="87"/>
        <v>0</v>
      </c>
      <c r="M155" s="218">
        <f t="shared" si="87"/>
        <v>-478</v>
      </c>
      <c r="N155" s="218">
        <f t="shared" si="87"/>
        <v>161622</v>
      </c>
      <c r="O155" s="218"/>
      <c r="P155" s="218">
        <f t="shared" si="87"/>
        <v>0</v>
      </c>
      <c r="Q155" s="218">
        <f t="shared" si="87"/>
        <v>162100</v>
      </c>
      <c r="R155" s="218">
        <f t="shared" si="87"/>
        <v>-478</v>
      </c>
      <c r="S155" s="218">
        <f t="shared" si="87"/>
        <v>0</v>
      </c>
      <c r="T155" s="218">
        <f t="shared" si="87"/>
        <v>0</v>
      </c>
      <c r="U155" s="218">
        <f t="shared" si="87"/>
        <v>161622</v>
      </c>
      <c r="V155" s="218">
        <f t="shared" si="87"/>
        <v>0</v>
      </c>
      <c r="W155" s="218">
        <f t="shared" si="87"/>
        <v>0</v>
      </c>
      <c r="X155" s="218">
        <f t="shared" si="87"/>
        <v>0</v>
      </c>
      <c r="Y155" s="218">
        <f t="shared" si="87"/>
        <v>0</v>
      </c>
      <c r="Z155" s="218">
        <f t="shared" si="87"/>
        <v>0</v>
      </c>
      <c r="AA155" s="218">
        <f t="shared" si="87"/>
        <v>0</v>
      </c>
      <c r="AB155" s="218">
        <f t="shared" si="87"/>
        <v>0</v>
      </c>
      <c r="AC155" s="218">
        <f t="shared" si="87"/>
        <v>0</v>
      </c>
      <c r="AD155" s="218">
        <f t="shared" si="87"/>
        <v>0</v>
      </c>
      <c r="AE155" s="218">
        <f t="shared" si="87"/>
        <v>0</v>
      </c>
      <c r="AF155" s="218">
        <f t="shared" si="87"/>
        <v>0</v>
      </c>
      <c r="AG155" s="218">
        <f t="shared" si="87"/>
        <v>0</v>
      </c>
      <c r="AH155" s="218">
        <f t="shared" si="87"/>
        <v>0</v>
      </c>
      <c r="AI155" s="218">
        <f t="shared" si="87"/>
        <v>0</v>
      </c>
      <c r="AJ155" s="218">
        <f t="shared" si="87"/>
        <v>0</v>
      </c>
      <c r="AK155" s="218">
        <f t="shared" si="87"/>
        <v>45000</v>
      </c>
      <c r="AL155" s="218">
        <f t="shared" si="87"/>
        <v>0</v>
      </c>
      <c r="AM155" s="218">
        <f t="shared" si="87"/>
        <v>0</v>
      </c>
      <c r="AN155" s="218">
        <f t="shared" si="87"/>
        <v>0</v>
      </c>
      <c r="AO155" s="218">
        <f t="shared" si="87"/>
        <v>0</v>
      </c>
      <c r="AP155" s="218">
        <f t="shared" si="87"/>
        <v>0</v>
      </c>
      <c r="AQ155" s="218">
        <f t="shared" si="87"/>
        <v>0</v>
      </c>
      <c r="AR155" s="218">
        <f t="shared" si="87"/>
        <v>0</v>
      </c>
      <c r="AS155" s="218">
        <f t="shared" si="87"/>
        <v>0</v>
      </c>
      <c r="AT155" s="218">
        <f t="shared" si="87"/>
        <v>0</v>
      </c>
      <c r="AU155" s="218">
        <f t="shared" si="87"/>
        <v>0</v>
      </c>
      <c r="AV155" s="218">
        <f t="shared" si="87"/>
        <v>206622</v>
      </c>
      <c r="AW155" s="38"/>
      <c r="AX155" s="218">
        <f t="shared" si="87"/>
        <v>206622</v>
      </c>
      <c r="AY155" s="218">
        <f t="shared" si="87"/>
        <v>206622</v>
      </c>
      <c r="AZ155" s="39">
        <f t="shared" si="87"/>
        <v>0</v>
      </c>
      <c r="BA155" s="79"/>
      <c r="BB155" s="129"/>
      <c r="BC155" s="230"/>
      <c r="BD155" s="52"/>
      <c r="BE155" s="52"/>
    </row>
    <row r="156" spans="1:57" ht="12.75">
      <c r="A156"/>
      <c r="B156"/>
      <c r="C156"/>
      <c r="D156"/>
      <c r="F156"/>
      <c r="G156"/>
      <c r="H156"/>
      <c r="I156" s="238"/>
      <c r="J156" s="241"/>
      <c r="K156" s="284"/>
      <c r="L156"/>
      <c r="M156"/>
      <c r="N156" s="241"/>
      <c r="O156"/>
      <c r="P156"/>
      <c r="Q156"/>
      <c r="R156"/>
      <c r="S156"/>
      <c r="T156"/>
      <c r="U156"/>
      <c r="V156"/>
      <c r="W156"/>
      <c r="X156" s="238"/>
      <c r="Y156" s="238"/>
      <c r="Z156" s="238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 s="237"/>
      <c r="AW156" s="284"/>
      <c r="AX156" s="274"/>
      <c r="AY156" s="231"/>
      <c r="AZ156" s="217"/>
      <c r="BA156" s="238"/>
      <c r="BB156" s="238"/>
      <c r="BC156" s="52"/>
      <c r="BD156" s="238"/>
      <c r="BE156" s="238"/>
    </row>
    <row r="157" spans="1:57" ht="12.75">
      <c r="A157" s="97"/>
      <c r="B157" s="98"/>
      <c r="C157" s="98"/>
      <c r="D157" s="98"/>
      <c r="E157" s="99"/>
      <c r="F157" s="100"/>
      <c r="G157" s="100"/>
      <c r="H157" s="100"/>
      <c r="I157" s="100"/>
      <c r="J157" s="100"/>
      <c r="K157" s="294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283"/>
      <c r="AX157" s="100"/>
      <c r="AY157" s="100"/>
      <c r="AZ157" s="101"/>
      <c r="BA157" s="68"/>
      <c r="BB157" s="229"/>
      <c r="BC157" s="230"/>
      <c r="BD157" s="238"/>
      <c r="BE157" s="238"/>
    </row>
    <row r="158" spans="1:57" s="3" customFormat="1" ht="12.75">
      <c r="A158" s="187"/>
      <c r="B158" s="188"/>
      <c r="C158" s="188"/>
      <c r="D158" s="188"/>
      <c r="E158" s="189" t="s">
        <v>59</v>
      </c>
      <c r="F158" s="72">
        <f>SUM(F91+F135+F147+F155)</f>
        <v>3164228</v>
      </c>
      <c r="G158" s="72">
        <f aca="true" t="shared" si="88" ref="G158:AZ158">SUM(G91+G135+G147+G155)</f>
        <v>-20059</v>
      </c>
      <c r="H158" s="72">
        <f t="shared" si="88"/>
        <v>3306269</v>
      </c>
      <c r="I158" s="72">
        <f t="shared" si="88"/>
        <v>0</v>
      </c>
      <c r="J158" s="72">
        <f t="shared" si="88"/>
        <v>3306269</v>
      </c>
      <c r="K158" s="285"/>
      <c r="L158" s="72">
        <f t="shared" si="88"/>
        <v>0</v>
      </c>
      <c r="M158" s="72">
        <f>SUM(M91+M135+M147+M155)</f>
        <v>-9749</v>
      </c>
      <c r="N158" s="72">
        <f>SUM(N91+N135+N147+N155)</f>
        <v>3296520</v>
      </c>
      <c r="O158" s="72"/>
      <c r="P158" s="72">
        <f t="shared" si="88"/>
        <v>3164228</v>
      </c>
      <c r="Q158" s="72">
        <f t="shared" si="88"/>
        <v>3306269</v>
      </c>
      <c r="R158" s="72">
        <f>SUM(R91+R135+R147+R155)</f>
        <v>-9749</v>
      </c>
      <c r="S158" s="72">
        <f t="shared" si="88"/>
        <v>0</v>
      </c>
      <c r="T158" s="72">
        <f t="shared" si="88"/>
        <v>0</v>
      </c>
      <c r="U158" s="72">
        <f>SUM(U91+U135+U147+U155)</f>
        <v>3296520</v>
      </c>
      <c r="V158" s="72">
        <f t="shared" si="88"/>
        <v>0</v>
      </c>
      <c r="W158" s="72">
        <f t="shared" si="88"/>
        <v>0</v>
      </c>
      <c r="X158" s="72">
        <f t="shared" si="88"/>
        <v>177237</v>
      </c>
      <c r="Y158" s="72">
        <f t="shared" si="88"/>
        <v>237868</v>
      </c>
      <c r="Z158" s="72">
        <f t="shared" si="88"/>
        <v>-6400</v>
      </c>
      <c r="AA158" s="72">
        <f t="shared" si="88"/>
        <v>3066</v>
      </c>
      <c r="AB158" s="72">
        <f t="shared" si="88"/>
        <v>-2000</v>
      </c>
      <c r="AC158" s="72">
        <f t="shared" si="88"/>
        <v>300</v>
      </c>
      <c r="AD158" s="72">
        <f t="shared" si="88"/>
        <v>-276</v>
      </c>
      <c r="AE158" s="72">
        <f t="shared" si="88"/>
        <v>31400</v>
      </c>
      <c r="AF158" s="72">
        <f t="shared" si="88"/>
        <v>-29911</v>
      </c>
      <c r="AG158" s="72">
        <f t="shared" si="88"/>
        <v>1205</v>
      </c>
      <c r="AH158" s="72">
        <f t="shared" si="88"/>
        <v>142000</v>
      </c>
      <c r="AI158" s="72">
        <f t="shared" si="88"/>
        <v>-2400</v>
      </c>
      <c r="AJ158" s="72">
        <f t="shared" si="88"/>
        <v>600</v>
      </c>
      <c r="AK158" s="72">
        <f t="shared" si="88"/>
        <v>182466</v>
      </c>
      <c r="AL158" s="72">
        <f t="shared" si="88"/>
        <v>17000</v>
      </c>
      <c r="AM158" s="72">
        <f t="shared" si="88"/>
        <v>124</v>
      </c>
      <c r="AN158" s="72">
        <f t="shared" si="88"/>
        <v>-5200</v>
      </c>
      <c r="AO158" s="72">
        <f t="shared" si="88"/>
        <v>14400</v>
      </c>
      <c r="AP158" s="72">
        <f t="shared" si="88"/>
        <v>1549</v>
      </c>
      <c r="AQ158" s="72">
        <f t="shared" si="88"/>
        <v>0</v>
      </c>
      <c r="AR158" s="72">
        <f t="shared" si="88"/>
        <v>0</v>
      </c>
      <c r="AS158" s="72">
        <f t="shared" si="88"/>
        <v>0</v>
      </c>
      <c r="AT158" s="72">
        <f t="shared" si="88"/>
        <v>0</v>
      </c>
      <c r="AU158" s="72">
        <f t="shared" si="88"/>
        <v>0</v>
      </c>
      <c r="AV158" s="72">
        <f>SUM(AV91+AV135+AV147+AV155)+1</f>
        <v>4059548</v>
      </c>
      <c r="AW158" s="285"/>
      <c r="AX158" s="72">
        <f t="shared" si="88"/>
        <v>4059548</v>
      </c>
      <c r="AY158" s="72">
        <f t="shared" si="88"/>
        <v>4059548</v>
      </c>
      <c r="AZ158" s="190">
        <f t="shared" si="88"/>
        <v>0</v>
      </c>
      <c r="BA158" s="68"/>
      <c r="BB158" s="242"/>
      <c r="BC158" s="243"/>
      <c r="BD158" s="117"/>
      <c r="BE158" s="117"/>
    </row>
    <row r="159" spans="1:57" s="3" customFormat="1" ht="12.75">
      <c r="A159" s="187"/>
      <c r="B159" s="188"/>
      <c r="C159" s="188"/>
      <c r="D159" s="188"/>
      <c r="E159" s="189" t="s">
        <v>192</v>
      </c>
      <c r="F159" s="72">
        <v>0</v>
      </c>
      <c r="G159" s="72">
        <v>0</v>
      </c>
      <c r="H159" s="72">
        <v>0</v>
      </c>
      <c r="I159" s="72">
        <v>0</v>
      </c>
      <c r="J159" s="72">
        <v>0</v>
      </c>
      <c r="K159" s="285"/>
      <c r="L159" s="72">
        <v>0</v>
      </c>
      <c r="M159" s="72">
        <v>0</v>
      </c>
      <c r="N159" s="72">
        <v>0</v>
      </c>
      <c r="O159" s="72"/>
      <c r="P159" s="72">
        <v>0</v>
      </c>
      <c r="Q159" s="72">
        <v>0</v>
      </c>
      <c r="R159" s="72">
        <v>0</v>
      </c>
      <c r="S159" s="72">
        <v>0</v>
      </c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286"/>
      <c r="AX159" s="72"/>
      <c r="AY159" s="72"/>
      <c r="AZ159" s="190">
        <f>SUM(AZ92+AZ136+AZ148)</f>
        <v>0</v>
      </c>
      <c r="BA159" s="68"/>
      <c r="BB159" s="242"/>
      <c r="BC159" s="243"/>
      <c r="BD159" s="117"/>
      <c r="BE159" s="117"/>
    </row>
    <row r="160" spans="1:57" ht="13.5" thickBot="1">
      <c r="A160" s="187"/>
      <c r="B160" s="188"/>
      <c r="C160" s="188"/>
      <c r="D160" s="188"/>
      <c r="E160" s="189"/>
      <c r="F160" s="72"/>
      <c r="G160" s="72"/>
      <c r="H160" s="72"/>
      <c r="I160" s="72"/>
      <c r="J160" s="72"/>
      <c r="K160" s="285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286"/>
      <c r="AX160" s="72"/>
      <c r="AY160" s="72"/>
      <c r="AZ160" s="190"/>
      <c r="BA160" s="68"/>
      <c r="BB160" s="229"/>
      <c r="BC160" s="230"/>
      <c r="BD160" s="238"/>
      <c r="BE160" s="238"/>
    </row>
    <row r="161" spans="1:57" ht="12.75">
      <c r="A161" s="191"/>
      <c r="B161" s="192"/>
      <c r="C161" s="192"/>
      <c r="D161" s="192"/>
      <c r="E161" s="193"/>
      <c r="F161" s="194"/>
      <c r="G161" s="194"/>
      <c r="H161" s="194"/>
      <c r="I161" s="194"/>
      <c r="J161" s="194"/>
      <c r="K161" s="287"/>
      <c r="L161" s="194"/>
      <c r="M161" s="194"/>
      <c r="N161" s="194"/>
      <c r="O161" s="194"/>
      <c r="P161" s="194"/>
      <c r="Q161" s="194"/>
      <c r="R161" s="194"/>
      <c r="S161" s="194"/>
      <c r="T161" s="194"/>
      <c r="U161" s="194"/>
      <c r="V161" s="194"/>
      <c r="W161" s="194"/>
      <c r="X161" s="194"/>
      <c r="Y161" s="194"/>
      <c r="Z161" s="194"/>
      <c r="AA161" s="194"/>
      <c r="AB161" s="194"/>
      <c r="AC161" s="194"/>
      <c r="AD161" s="194"/>
      <c r="AE161" s="194"/>
      <c r="AF161" s="194"/>
      <c r="AG161" s="194"/>
      <c r="AH161" s="194"/>
      <c r="AI161" s="194"/>
      <c r="AJ161" s="194"/>
      <c r="AK161" s="194"/>
      <c r="AL161" s="194"/>
      <c r="AM161" s="194"/>
      <c r="AN161" s="194"/>
      <c r="AO161" s="194"/>
      <c r="AP161" s="194"/>
      <c r="AQ161" s="194"/>
      <c r="AR161" s="194"/>
      <c r="AS161" s="194"/>
      <c r="AT161" s="194"/>
      <c r="AU161" s="194"/>
      <c r="AV161" s="194"/>
      <c r="AW161" s="287"/>
      <c r="AX161" s="194"/>
      <c r="AY161" s="194"/>
      <c r="AZ161" s="195"/>
      <c r="BA161" s="68"/>
      <c r="BB161" s="229"/>
      <c r="BC161" s="230"/>
      <c r="BD161" s="238"/>
      <c r="BE161" s="238"/>
    </row>
    <row r="162" spans="1:57" ht="12.75">
      <c r="A162" s="187"/>
      <c r="B162" s="188"/>
      <c r="C162" s="188"/>
      <c r="D162" s="188"/>
      <c r="E162" s="189" t="s">
        <v>187</v>
      </c>
      <c r="F162" s="72">
        <v>3164228</v>
      </c>
      <c r="G162" s="72">
        <v>-20059</v>
      </c>
      <c r="H162" s="72">
        <v>3306269</v>
      </c>
      <c r="I162" s="72">
        <f>-3200+3200</f>
        <v>0</v>
      </c>
      <c r="J162" s="72">
        <v>3306269</v>
      </c>
      <c r="K162" s="285"/>
      <c r="L162" s="72"/>
      <c r="M162" s="72">
        <v>-9749</v>
      </c>
      <c r="N162" s="72">
        <v>3296520</v>
      </c>
      <c r="O162" s="72"/>
      <c r="P162" s="72">
        <v>3164228</v>
      </c>
      <c r="Q162" s="72">
        <v>3306269</v>
      </c>
      <c r="R162" s="72">
        <v>-9749</v>
      </c>
      <c r="S162" s="72">
        <v>0</v>
      </c>
      <c r="T162" s="72">
        <v>0</v>
      </c>
      <c r="U162" s="72">
        <v>3296520</v>
      </c>
      <c r="V162" s="72">
        <v>0</v>
      </c>
      <c r="W162" s="72">
        <v>0</v>
      </c>
      <c r="X162" s="72">
        <v>177237</v>
      </c>
      <c r="Y162" s="72">
        <v>237868</v>
      </c>
      <c r="Z162" s="72">
        <v>-6400</v>
      </c>
      <c r="AA162" s="72">
        <v>3066</v>
      </c>
      <c r="AB162" s="72">
        <v>-2000</v>
      </c>
      <c r="AC162" s="72">
        <v>300</v>
      </c>
      <c r="AD162" s="72">
        <v>-276</v>
      </c>
      <c r="AE162" s="72">
        <v>31400</v>
      </c>
      <c r="AF162" s="72">
        <v>-29911</v>
      </c>
      <c r="AG162" s="72">
        <v>1205</v>
      </c>
      <c r="AH162" s="72">
        <v>142000</v>
      </c>
      <c r="AI162" s="72">
        <v>0</v>
      </c>
      <c r="AJ162" s="72">
        <v>0</v>
      </c>
      <c r="AK162" s="72">
        <v>0</v>
      </c>
      <c r="AL162" s="72">
        <v>0</v>
      </c>
      <c r="AM162" s="72">
        <v>0</v>
      </c>
      <c r="AN162" s="72">
        <v>0</v>
      </c>
      <c r="AO162" s="72">
        <v>14400</v>
      </c>
      <c r="AP162" s="72">
        <v>1549</v>
      </c>
      <c r="AQ162" s="72">
        <v>0</v>
      </c>
      <c r="AR162" s="72">
        <v>0</v>
      </c>
      <c r="AS162" s="72">
        <v>0</v>
      </c>
      <c r="AT162" s="72">
        <v>0</v>
      </c>
      <c r="AU162" s="72">
        <v>0</v>
      </c>
      <c r="AV162" s="72">
        <v>4059548</v>
      </c>
      <c r="AW162" s="285"/>
      <c r="AX162" s="72">
        <v>4059548</v>
      </c>
      <c r="AY162" s="72">
        <v>4059548</v>
      </c>
      <c r="AZ162" s="190"/>
      <c r="BA162" s="68"/>
      <c r="BB162" s="229"/>
      <c r="BC162" s="230"/>
      <c r="BD162" s="238"/>
      <c r="BE162" s="238"/>
    </row>
    <row r="163" spans="1:57" ht="12.75">
      <c r="A163" s="187"/>
      <c r="B163" s="188"/>
      <c r="C163" s="188"/>
      <c r="D163" s="188"/>
      <c r="E163" s="189"/>
      <c r="F163" s="72"/>
      <c r="G163" s="72"/>
      <c r="H163" s="72"/>
      <c r="I163" s="72"/>
      <c r="J163" s="72"/>
      <c r="K163" s="285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  <c r="AW163" s="285"/>
      <c r="AX163" s="72"/>
      <c r="AY163" s="72"/>
      <c r="AZ163" s="190"/>
      <c r="BA163" s="68"/>
      <c r="BB163" s="229"/>
      <c r="BC163" s="230"/>
      <c r="BD163" s="238"/>
      <c r="BE163" s="238"/>
    </row>
    <row r="164" spans="1:57" ht="13.5" thickBot="1">
      <c r="A164" s="196"/>
      <c r="B164" s="197"/>
      <c r="C164" s="197"/>
      <c r="D164" s="197"/>
      <c r="E164" s="198" t="s">
        <v>188</v>
      </c>
      <c r="F164" s="199">
        <f>SUM(F162-F158)</f>
        <v>0</v>
      </c>
      <c r="G164" s="199">
        <f aca="true" t="shared" si="89" ref="G164:AZ164">SUM(G162-G158)</f>
        <v>0</v>
      </c>
      <c r="H164" s="199">
        <f t="shared" si="89"/>
        <v>0</v>
      </c>
      <c r="I164" s="199">
        <f t="shared" si="89"/>
        <v>0</v>
      </c>
      <c r="J164" s="199">
        <f t="shared" si="89"/>
        <v>0</v>
      </c>
      <c r="K164" s="288"/>
      <c r="L164" s="199">
        <f t="shared" si="89"/>
        <v>0</v>
      </c>
      <c r="M164" s="199">
        <f t="shared" si="89"/>
        <v>0</v>
      </c>
      <c r="N164" s="199">
        <f t="shared" si="89"/>
        <v>0</v>
      </c>
      <c r="O164" s="199"/>
      <c r="P164" s="199">
        <f t="shared" si="89"/>
        <v>0</v>
      </c>
      <c r="Q164" s="199">
        <f t="shared" si="89"/>
        <v>0</v>
      </c>
      <c r="R164" s="199">
        <f t="shared" si="89"/>
        <v>0</v>
      </c>
      <c r="S164" s="199">
        <f t="shared" si="89"/>
        <v>0</v>
      </c>
      <c r="T164" s="199">
        <f t="shared" si="89"/>
        <v>0</v>
      </c>
      <c r="U164" s="199">
        <f t="shared" si="89"/>
        <v>0</v>
      </c>
      <c r="V164" s="199">
        <f t="shared" si="89"/>
        <v>0</v>
      </c>
      <c r="W164" s="199">
        <f t="shared" si="89"/>
        <v>0</v>
      </c>
      <c r="X164" s="199">
        <f t="shared" si="89"/>
        <v>0</v>
      </c>
      <c r="Y164" s="199"/>
      <c r="Z164" s="199"/>
      <c r="AA164" s="199">
        <f t="shared" si="89"/>
        <v>0</v>
      </c>
      <c r="AB164" s="199">
        <f t="shared" si="89"/>
        <v>0</v>
      </c>
      <c r="AC164" s="199">
        <f t="shared" si="89"/>
        <v>0</v>
      </c>
      <c r="AD164" s="199">
        <f t="shared" si="89"/>
        <v>0</v>
      </c>
      <c r="AE164" s="199">
        <f t="shared" si="89"/>
        <v>0</v>
      </c>
      <c r="AF164" s="199">
        <f t="shared" si="89"/>
        <v>0</v>
      </c>
      <c r="AG164" s="199">
        <f t="shared" si="89"/>
        <v>0</v>
      </c>
      <c r="AH164" s="199">
        <f t="shared" si="89"/>
        <v>0</v>
      </c>
      <c r="AI164" s="199">
        <f t="shared" si="89"/>
        <v>2400</v>
      </c>
      <c r="AJ164" s="199">
        <f t="shared" si="89"/>
        <v>-600</v>
      </c>
      <c r="AK164" s="199">
        <f t="shared" si="89"/>
        <v>-182466</v>
      </c>
      <c r="AL164" s="199">
        <f t="shared" si="89"/>
        <v>-17000</v>
      </c>
      <c r="AM164" s="199">
        <f t="shared" si="89"/>
        <v>-124</v>
      </c>
      <c r="AN164" s="199">
        <f t="shared" si="89"/>
        <v>5200</v>
      </c>
      <c r="AO164" s="199">
        <f t="shared" si="89"/>
        <v>0</v>
      </c>
      <c r="AP164" s="199">
        <f t="shared" si="89"/>
        <v>0</v>
      </c>
      <c r="AQ164" s="199">
        <f t="shared" si="89"/>
        <v>0</v>
      </c>
      <c r="AR164" s="199">
        <f t="shared" si="89"/>
        <v>0</v>
      </c>
      <c r="AS164" s="199">
        <f t="shared" si="89"/>
        <v>0</v>
      </c>
      <c r="AT164" s="199">
        <f t="shared" si="89"/>
        <v>0</v>
      </c>
      <c r="AU164" s="199">
        <f t="shared" si="89"/>
        <v>0</v>
      </c>
      <c r="AV164" s="199">
        <f t="shared" si="89"/>
        <v>0</v>
      </c>
      <c r="AW164" s="288"/>
      <c r="AX164" s="199">
        <f t="shared" si="89"/>
        <v>0</v>
      </c>
      <c r="AY164" s="199">
        <f t="shared" si="89"/>
        <v>0</v>
      </c>
      <c r="AZ164" s="240">
        <f t="shared" si="89"/>
        <v>0</v>
      </c>
      <c r="BA164" s="68"/>
      <c r="BB164" s="229"/>
      <c r="BC164" s="346"/>
      <c r="BD164" s="238"/>
      <c r="BE164" s="238"/>
    </row>
    <row r="167" ht="12.75">
      <c r="A167" s="136" t="s">
        <v>283</v>
      </c>
    </row>
    <row r="172" spans="55:56" ht="12.75">
      <c r="BC172" s="230"/>
      <c r="BD172" s="238"/>
    </row>
  </sheetData>
  <sheetProtection/>
  <printOptions/>
  <pageMargins left="0.75" right="0.75" top="1" bottom="1" header="0.5" footer="0.5"/>
  <pageSetup fitToHeight="6" fitToWidth="1" horizontalDpi="600" verticalDpi="600" orientation="landscape" paperSize="5" scale="2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9"/>
  <sheetViews>
    <sheetView zoomScalePageLayoutView="0" workbookViewId="0" topLeftCell="C101">
      <selection activeCell="C101" sqref="A1:IV16384"/>
    </sheetView>
  </sheetViews>
  <sheetFormatPr defaultColWidth="9.140625" defaultRowHeight="12.75"/>
  <cols>
    <col min="1" max="1" width="51.140625" style="12" customWidth="1"/>
    <col min="2" max="2" width="56.7109375" style="27" customWidth="1"/>
    <col min="3" max="3" width="12.421875" style="27" customWidth="1"/>
    <col min="4" max="4" width="14.57421875" style="27" customWidth="1"/>
    <col min="5" max="5" width="15.8515625" style="27" customWidth="1"/>
    <col min="6" max="6" width="15.421875" style="27" customWidth="1"/>
    <col min="7" max="7" width="14.8515625" style="27" customWidth="1"/>
    <col min="8" max="8" width="15.421875" style="27" customWidth="1"/>
    <col min="9" max="9" width="14.140625" style="21" customWidth="1"/>
    <col min="10" max="10" width="14.28125" style="21" customWidth="1"/>
    <col min="11" max="11" width="11.57421875" style="16" customWidth="1"/>
    <col min="12" max="12" width="9.140625" style="27" customWidth="1"/>
    <col min="13" max="13" width="9.7109375" style="27" bestFit="1" customWidth="1"/>
    <col min="14" max="16384" width="9.140625" style="27" customWidth="1"/>
  </cols>
  <sheetData>
    <row r="2" spans="4:10" ht="12.75">
      <c r="D2" s="227"/>
      <c r="H2" s="227"/>
      <c r="J2" s="249"/>
    </row>
    <row r="3" spans="2:10" ht="12.75">
      <c r="B3" s="21"/>
      <c r="D3" s="227"/>
      <c r="E3" s="69"/>
      <c r="H3" s="227"/>
      <c r="J3" s="249"/>
    </row>
    <row r="4" spans="4:10" ht="13.5" thickBot="1">
      <c r="D4" s="227"/>
      <c r="E4" s="112"/>
      <c r="G4" s="227"/>
      <c r="H4" s="227"/>
      <c r="I4" s="249"/>
      <c r="J4" s="249"/>
    </row>
    <row r="5" spans="1:11" ht="51" customHeight="1" thickBot="1">
      <c r="A5" s="48" t="s">
        <v>165</v>
      </c>
      <c r="B5" s="47" t="s">
        <v>166</v>
      </c>
      <c r="C5" s="53" t="s">
        <v>50</v>
      </c>
      <c r="D5" s="55" t="s">
        <v>51</v>
      </c>
      <c r="E5" s="53" t="s">
        <v>52</v>
      </c>
      <c r="F5" s="54" t="s">
        <v>53</v>
      </c>
      <c r="G5" s="54" t="s">
        <v>54</v>
      </c>
      <c r="H5" s="54" t="s">
        <v>55</v>
      </c>
      <c r="I5" s="54" t="s">
        <v>56</v>
      </c>
      <c r="J5" s="54" t="s">
        <v>57</v>
      </c>
      <c r="K5" s="219" t="s">
        <v>58</v>
      </c>
    </row>
    <row r="6" spans="1:11" ht="12.75">
      <c r="A6" s="244"/>
      <c r="B6" s="29"/>
      <c r="C6" s="30"/>
      <c r="D6" s="29"/>
      <c r="E6" s="31"/>
      <c r="F6" s="30"/>
      <c r="G6" s="31"/>
      <c r="H6" s="30"/>
      <c r="I6" s="93"/>
      <c r="J6" s="122"/>
      <c r="K6" s="25"/>
    </row>
    <row r="7" spans="1:11" ht="12.75">
      <c r="A7" s="50"/>
      <c r="B7" s="32"/>
      <c r="C7" s="33"/>
      <c r="D7" s="29"/>
      <c r="E7" s="31"/>
      <c r="F7" s="33"/>
      <c r="G7" s="31"/>
      <c r="H7" s="33"/>
      <c r="I7" s="93"/>
      <c r="J7" s="123"/>
      <c r="K7" s="25"/>
    </row>
    <row r="8" spans="1:11" ht="12.75">
      <c r="A8" s="50" t="s">
        <v>63</v>
      </c>
      <c r="B8" s="7" t="s">
        <v>12</v>
      </c>
      <c r="C8" s="24">
        <v>105946</v>
      </c>
      <c r="D8" s="25">
        <v>105946</v>
      </c>
      <c r="E8" s="26">
        <v>-312</v>
      </c>
      <c r="F8" s="24">
        <v>0</v>
      </c>
      <c r="G8" s="26">
        <v>0</v>
      </c>
      <c r="H8" s="24">
        <v>0</v>
      </c>
      <c r="I8" s="94">
        <v>-2273</v>
      </c>
      <c r="J8" s="116">
        <v>0</v>
      </c>
      <c r="K8" s="25">
        <f>SUM(D8:J8)</f>
        <v>103361</v>
      </c>
    </row>
    <row r="9" spans="1:11" s="11" customFormat="1" ht="12.75">
      <c r="A9" s="257"/>
      <c r="B9" s="258" t="s">
        <v>113</v>
      </c>
      <c r="C9" s="260">
        <f aca="true" t="shared" si="0" ref="C9:I9">SUM(C8)</f>
        <v>105946</v>
      </c>
      <c r="D9" s="260">
        <f t="shared" si="0"/>
        <v>105946</v>
      </c>
      <c r="E9" s="260">
        <f t="shared" si="0"/>
        <v>-312</v>
      </c>
      <c r="F9" s="260">
        <f t="shared" si="0"/>
        <v>0</v>
      </c>
      <c r="G9" s="260">
        <f t="shared" si="0"/>
        <v>0</v>
      </c>
      <c r="H9" s="260">
        <f t="shared" si="0"/>
        <v>0</v>
      </c>
      <c r="I9" s="260">
        <f t="shared" si="0"/>
        <v>-2273</v>
      </c>
      <c r="J9" s="260">
        <f>SUM(J8:J8)</f>
        <v>0</v>
      </c>
      <c r="K9" s="260">
        <f>SUM(K8:K8)</f>
        <v>103361</v>
      </c>
    </row>
    <row r="10" spans="1:11" ht="12.75">
      <c r="A10" s="50"/>
      <c r="B10" s="23"/>
      <c r="C10" s="24"/>
      <c r="D10" s="25"/>
      <c r="E10" s="26"/>
      <c r="F10" s="24"/>
      <c r="G10" s="26"/>
      <c r="H10" s="24"/>
      <c r="I10" s="94"/>
      <c r="J10" s="116"/>
      <c r="K10" s="25"/>
    </row>
    <row r="11" spans="1:11" ht="12.75">
      <c r="A11" s="50" t="s">
        <v>65</v>
      </c>
      <c r="B11" t="s">
        <v>116</v>
      </c>
      <c r="C11" s="24">
        <f>SUM('FY 09-11 DD 1416 Tracker-Total'!P18)</f>
        <v>0</v>
      </c>
      <c r="D11" s="25">
        <f>SUM('FY 09-11 DD 1416 Tracker-Total'!J18)</f>
        <v>0</v>
      </c>
      <c r="E11" s="26">
        <f>SUM('FY 09-11 DD 1416 Tracker-Total'!M18)</f>
        <v>0</v>
      </c>
      <c r="F11" s="24">
        <v>0</v>
      </c>
      <c r="G11" s="26">
        <v>0</v>
      </c>
      <c r="H11" s="24">
        <v>0</v>
      </c>
      <c r="I11" s="94">
        <v>0</v>
      </c>
      <c r="J11" s="116">
        <v>0</v>
      </c>
      <c r="K11" s="59">
        <f>SUM(D11:J11)</f>
        <v>0</v>
      </c>
    </row>
    <row r="12" spans="1:11" ht="12.75">
      <c r="A12" s="50"/>
      <c r="B12" t="s">
        <v>12</v>
      </c>
      <c r="C12" s="24">
        <v>26649</v>
      </c>
      <c r="D12" s="25">
        <v>26649</v>
      </c>
      <c r="E12" s="26">
        <v>-79</v>
      </c>
      <c r="F12" s="24">
        <v>0</v>
      </c>
      <c r="G12" s="26">
        <v>0</v>
      </c>
      <c r="H12" s="24">
        <v>0</v>
      </c>
      <c r="I12" s="94">
        <v>0</v>
      </c>
      <c r="J12" s="116">
        <v>0</v>
      </c>
      <c r="K12" s="59">
        <f>SUM(D12:J12)</f>
        <v>26570</v>
      </c>
    </row>
    <row r="13" spans="1:11" s="11" customFormat="1" ht="12.75">
      <c r="A13" s="257"/>
      <c r="B13" s="259" t="s">
        <v>49</v>
      </c>
      <c r="C13" s="260">
        <f>SUM(C11:C12)</f>
        <v>26649</v>
      </c>
      <c r="D13" s="260">
        <f aca="true" t="shared" si="1" ref="D13:K13">SUM(D11:D12)</f>
        <v>26649</v>
      </c>
      <c r="E13" s="260">
        <f t="shared" si="1"/>
        <v>-79</v>
      </c>
      <c r="F13" s="260">
        <f t="shared" si="1"/>
        <v>0</v>
      </c>
      <c r="G13" s="260">
        <f t="shared" si="1"/>
        <v>0</v>
      </c>
      <c r="H13" s="260">
        <f t="shared" si="1"/>
        <v>0</v>
      </c>
      <c r="I13" s="260">
        <f t="shared" si="1"/>
        <v>0</v>
      </c>
      <c r="J13" s="260">
        <f t="shared" si="1"/>
        <v>0</v>
      </c>
      <c r="K13" s="260">
        <f t="shared" si="1"/>
        <v>26570</v>
      </c>
    </row>
    <row r="14" spans="1:11" ht="12.75">
      <c r="A14" s="50"/>
      <c r="B14" s="23"/>
      <c r="C14" s="24"/>
      <c r="D14" s="25"/>
      <c r="E14" s="26"/>
      <c r="F14" s="24"/>
      <c r="G14" s="26"/>
      <c r="H14" s="24"/>
      <c r="I14" s="94"/>
      <c r="J14" s="116"/>
      <c r="K14" s="25"/>
    </row>
    <row r="15" spans="1:11" ht="12.75">
      <c r="A15" s="50" t="s">
        <v>167</v>
      </c>
      <c r="B15" s="3" t="s">
        <v>6</v>
      </c>
      <c r="C15" s="24">
        <v>54934</v>
      </c>
      <c r="D15" s="25">
        <v>48734</v>
      </c>
      <c r="E15" s="26">
        <v>-144</v>
      </c>
      <c r="F15" s="24">
        <v>0</v>
      </c>
      <c r="G15" s="24">
        <v>0</v>
      </c>
      <c r="H15" s="24">
        <v>0</v>
      </c>
      <c r="I15" s="24">
        <v>0</v>
      </c>
      <c r="J15" s="24">
        <f>-1304+595-3000</f>
        <v>-3709</v>
      </c>
      <c r="K15" s="59">
        <f>SUM(D15:J15)</f>
        <v>44881</v>
      </c>
    </row>
    <row r="16" spans="1:11" ht="12.75">
      <c r="A16" s="50"/>
      <c r="B16" s="3" t="s">
        <v>248</v>
      </c>
      <c r="C16" s="24">
        <v>10973</v>
      </c>
      <c r="D16" s="25">
        <v>10973</v>
      </c>
      <c r="E16" s="26">
        <v>-32</v>
      </c>
      <c r="F16" s="24">
        <v>0</v>
      </c>
      <c r="G16" s="24">
        <v>0</v>
      </c>
      <c r="H16" s="24">
        <v>0</v>
      </c>
      <c r="I16" s="24"/>
      <c r="J16" s="24">
        <v>-1900</v>
      </c>
      <c r="K16" s="59">
        <f aca="true" t="shared" si="2" ref="K16:K25">SUM(D16:J16)</f>
        <v>9041</v>
      </c>
    </row>
    <row r="17" spans="1:11" ht="12.75">
      <c r="A17" s="50"/>
      <c r="B17" s="3" t="s">
        <v>7</v>
      </c>
      <c r="C17" s="24">
        <v>2788</v>
      </c>
      <c r="D17" s="25">
        <v>2788</v>
      </c>
      <c r="E17" s="26">
        <v>-8</v>
      </c>
      <c r="F17" s="24">
        <v>0</v>
      </c>
      <c r="G17" s="24">
        <v>0</v>
      </c>
      <c r="H17" s="24">
        <v>0</v>
      </c>
      <c r="I17" s="24">
        <v>200</v>
      </c>
      <c r="J17" s="24">
        <v>0</v>
      </c>
      <c r="K17" s="59">
        <f t="shared" si="2"/>
        <v>2980</v>
      </c>
    </row>
    <row r="18" spans="1:11" ht="12.75">
      <c r="A18" s="50"/>
      <c r="B18" s="3" t="s">
        <v>8</v>
      </c>
      <c r="C18" s="24">
        <v>15062</v>
      </c>
      <c r="D18" s="25">
        <v>15062</v>
      </c>
      <c r="E18" s="26">
        <v>-44</v>
      </c>
      <c r="F18" s="24">
        <v>0</v>
      </c>
      <c r="G18" s="24">
        <v>0</v>
      </c>
      <c r="H18" s="24">
        <v>0</v>
      </c>
      <c r="I18" s="24">
        <v>0</v>
      </c>
      <c r="J18" s="24">
        <v>400</v>
      </c>
      <c r="K18" s="59">
        <f t="shared" si="2"/>
        <v>15418</v>
      </c>
    </row>
    <row r="19" spans="1:11" ht="12.75">
      <c r="A19" s="50"/>
      <c r="B19" s="3" t="s">
        <v>9</v>
      </c>
      <c r="C19" s="24">
        <v>121296</v>
      </c>
      <c r="D19" s="25">
        <v>111296</v>
      </c>
      <c r="E19" s="26">
        <v>-328</v>
      </c>
      <c r="F19" s="24">
        <v>0</v>
      </c>
      <c r="G19" s="24">
        <v>0</v>
      </c>
      <c r="H19" s="24">
        <v>0</v>
      </c>
      <c r="I19" s="24">
        <v>0</v>
      </c>
      <c r="J19" s="24">
        <f>3243+1200+9560</f>
        <v>14003</v>
      </c>
      <c r="K19" s="59">
        <f t="shared" si="2"/>
        <v>124971</v>
      </c>
    </row>
    <row r="20" spans="1:11" ht="12.75">
      <c r="A20" s="50"/>
      <c r="B20" s="3" t="s">
        <v>10</v>
      </c>
      <c r="C20" s="24">
        <v>36765</v>
      </c>
      <c r="D20" s="25">
        <v>36765</v>
      </c>
      <c r="E20" s="26">
        <v>-108</v>
      </c>
      <c r="F20" s="24">
        <v>0</v>
      </c>
      <c r="G20" s="24">
        <v>0</v>
      </c>
      <c r="H20" s="24">
        <v>0</v>
      </c>
      <c r="I20" s="24">
        <v>0</v>
      </c>
      <c r="J20" s="24">
        <v>-5958</v>
      </c>
      <c r="K20" s="59">
        <f t="shared" si="2"/>
        <v>30699</v>
      </c>
    </row>
    <row r="21" spans="1:11" ht="12.75">
      <c r="A21" s="50"/>
      <c r="B21" s="3" t="s">
        <v>197</v>
      </c>
      <c r="C21" s="24">
        <v>90328</v>
      </c>
      <c r="D21" s="25">
        <v>90328</v>
      </c>
      <c r="E21" s="26">
        <v>-266</v>
      </c>
      <c r="F21" s="24">
        <v>0</v>
      </c>
      <c r="G21" s="24">
        <v>0</v>
      </c>
      <c r="H21" s="24">
        <v>0</v>
      </c>
      <c r="I21" s="24">
        <v>0</v>
      </c>
      <c r="J21" s="24">
        <f>4319-595-6499</f>
        <v>-2775</v>
      </c>
      <c r="K21" s="59">
        <f t="shared" si="2"/>
        <v>87287</v>
      </c>
    </row>
    <row r="22" spans="1:11" ht="12.75">
      <c r="A22" s="50"/>
      <c r="B22" s="3" t="s">
        <v>203</v>
      </c>
      <c r="C22" s="24">
        <v>1895</v>
      </c>
      <c r="D22" s="25">
        <v>1894</v>
      </c>
      <c r="E22" s="26">
        <v>-6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59">
        <f t="shared" si="2"/>
        <v>1888</v>
      </c>
    </row>
    <row r="23" spans="1:11" ht="12.75">
      <c r="A23" s="50"/>
      <c r="B23" s="117" t="s">
        <v>184</v>
      </c>
      <c r="C23" s="24">
        <v>0</v>
      </c>
      <c r="D23" s="25">
        <v>0</v>
      </c>
      <c r="E23" s="26">
        <v>0</v>
      </c>
      <c r="F23" s="24">
        <v>0</v>
      </c>
      <c r="G23" s="24">
        <v>0</v>
      </c>
      <c r="H23" s="24">
        <v>0</v>
      </c>
      <c r="I23" s="24">
        <v>1316</v>
      </c>
      <c r="J23" s="24">
        <v>0</v>
      </c>
      <c r="K23" s="59">
        <f t="shared" si="2"/>
        <v>1316</v>
      </c>
    </row>
    <row r="24" spans="1:11" ht="12.75">
      <c r="A24" s="50"/>
      <c r="B24" s="117" t="s">
        <v>212</v>
      </c>
      <c r="C24" s="24">
        <v>7952</v>
      </c>
      <c r="D24" s="25">
        <v>4000</v>
      </c>
      <c r="E24" s="26">
        <v>-12</v>
      </c>
      <c r="F24" s="24">
        <v>0</v>
      </c>
      <c r="G24" s="24">
        <v>0</v>
      </c>
      <c r="H24" s="24">
        <v>0</v>
      </c>
      <c r="I24" s="24">
        <v>0</v>
      </c>
      <c r="J24" s="24">
        <f>0-61</f>
        <v>-61</v>
      </c>
      <c r="K24" s="59">
        <f t="shared" si="2"/>
        <v>3927</v>
      </c>
    </row>
    <row r="25" spans="1:11" ht="12.75">
      <c r="A25" s="50"/>
      <c r="B25" s="117" t="s">
        <v>213</v>
      </c>
      <c r="C25" s="24">
        <v>19100</v>
      </c>
      <c r="D25" s="25">
        <v>19100</v>
      </c>
      <c r="E25" s="26">
        <v>-56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59">
        <f t="shared" si="2"/>
        <v>19044</v>
      </c>
    </row>
    <row r="26" spans="1:11" s="11" customFormat="1" ht="12.75">
      <c r="A26" s="257"/>
      <c r="B26" s="259" t="s">
        <v>67</v>
      </c>
      <c r="C26" s="260">
        <f>SUM(C15:C25)-1</f>
        <v>361092</v>
      </c>
      <c r="D26" s="260">
        <f aca="true" t="shared" si="3" ref="D26:K26">SUM(D15:D25)</f>
        <v>340940</v>
      </c>
      <c r="E26" s="261">
        <f t="shared" si="3"/>
        <v>-1004</v>
      </c>
      <c r="F26" s="260">
        <f t="shared" si="3"/>
        <v>0</v>
      </c>
      <c r="G26" s="262">
        <f t="shared" si="3"/>
        <v>0</v>
      </c>
      <c r="H26" s="260">
        <f t="shared" si="3"/>
        <v>0</v>
      </c>
      <c r="I26" s="260">
        <f t="shared" si="3"/>
        <v>1516</v>
      </c>
      <c r="J26" s="260">
        <f t="shared" si="3"/>
        <v>0</v>
      </c>
      <c r="K26" s="260">
        <f t="shared" si="3"/>
        <v>341452</v>
      </c>
    </row>
    <row r="27" spans="1:11" ht="12.75">
      <c r="A27" s="50"/>
      <c r="B27" s="23"/>
      <c r="C27" s="24"/>
      <c r="D27" s="25"/>
      <c r="E27" s="26"/>
      <c r="F27" s="24"/>
      <c r="G27" s="26"/>
      <c r="H27" s="24"/>
      <c r="I27" s="94"/>
      <c r="J27" s="116"/>
      <c r="K27" s="25"/>
    </row>
    <row r="28" spans="1:11" ht="12.75">
      <c r="A28" s="50" t="s">
        <v>61</v>
      </c>
      <c r="B28" t="s">
        <v>12</v>
      </c>
      <c r="C28" s="24">
        <v>8789</v>
      </c>
      <c r="D28" s="25">
        <v>8789</v>
      </c>
      <c r="E28" s="26">
        <v>-26</v>
      </c>
      <c r="F28" s="24">
        <v>0</v>
      </c>
      <c r="G28" s="26">
        <v>0</v>
      </c>
      <c r="H28" s="24">
        <v>0</v>
      </c>
      <c r="I28" s="94">
        <v>0</v>
      </c>
      <c r="J28" s="116">
        <v>0</v>
      </c>
      <c r="K28" s="59">
        <f>SUM(D28:J28)</f>
        <v>8763</v>
      </c>
    </row>
    <row r="29" spans="1:11" ht="12.75">
      <c r="A29" s="257"/>
      <c r="B29" s="259" t="s">
        <v>117</v>
      </c>
      <c r="C29" s="260">
        <f>SUM(C28)</f>
        <v>8789</v>
      </c>
      <c r="D29" s="260">
        <f aca="true" t="shared" si="4" ref="D29:K29">SUM(D28)</f>
        <v>8789</v>
      </c>
      <c r="E29" s="260">
        <f t="shared" si="4"/>
        <v>-26</v>
      </c>
      <c r="F29" s="260">
        <f t="shared" si="4"/>
        <v>0</v>
      </c>
      <c r="G29" s="260">
        <f t="shared" si="4"/>
        <v>0</v>
      </c>
      <c r="H29" s="260">
        <f t="shared" si="4"/>
        <v>0</v>
      </c>
      <c r="I29" s="260">
        <f t="shared" si="4"/>
        <v>0</v>
      </c>
      <c r="J29" s="260">
        <f t="shared" si="4"/>
        <v>0</v>
      </c>
      <c r="K29" s="260">
        <f t="shared" si="4"/>
        <v>8763</v>
      </c>
    </row>
    <row r="30" spans="1:11" ht="12.75">
      <c r="A30" s="50"/>
      <c r="B30" s="34"/>
      <c r="C30" s="24"/>
      <c r="D30" s="25"/>
      <c r="E30" s="26"/>
      <c r="F30" s="24"/>
      <c r="G30" s="26"/>
      <c r="H30" s="24"/>
      <c r="I30" s="94"/>
      <c r="J30" s="116"/>
      <c r="K30" s="25"/>
    </row>
    <row r="31" spans="1:11" ht="12.75">
      <c r="A31" s="50" t="s">
        <v>60</v>
      </c>
      <c r="B31" t="s">
        <v>118</v>
      </c>
      <c r="C31" s="24">
        <v>1523</v>
      </c>
      <c r="D31" s="25">
        <v>3923</v>
      </c>
      <c r="E31" s="26">
        <v>-12</v>
      </c>
      <c r="F31" s="24">
        <v>0</v>
      </c>
      <c r="G31" s="26">
        <v>0</v>
      </c>
      <c r="H31" s="24">
        <v>0</v>
      </c>
      <c r="I31" s="94">
        <v>-2400</v>
      </c>
      <c r="J31" s="116">
        <v>0</v>
      </c>
      <c r="K31" s="59">
        <f>SUM(D31:J31)</f>
        <v>1511</v>
      </c>
    </row>
    <row r="32" spans="1:11" s="11" customFormat="1" ht="12.75">
      <c r="A32" s="257"/>
      <c r="B32" s="259" t="s">
        <v>119</v>
      </c>
      <c r="C32" s="260">
        <f>SUM(C31)</f>
        <v>1523</v>
      </c>
      <c r="D32" s="260">
        <f aca="true" t="shared" si="5" ref="D32:K32">SUM(D31)</f>
        <v>3923</v>
      </c>
      <c r="E32" s="260">
        <f t="shared" si="5"/>
        <v>-12</v>
      </c>
      <c r="F32" s="260">
        <f t="shared" si="5"/>
        <v>0</v>
      </c>
      <c r="G32" s="260">
        <f t="shared" si="5"/>
        <v>0</v>
      </c>
      <c r="H32" s="260">
        <f t="shared" si="5"/>
        <v>0</v>
      </c>
      <c r="I32" s="260">
        <f t="shared" si="5"/>
        <v>-2400</v>
      </c>
      <c r="J32" s="260">
        <f t="shared" si="5"/>
        <v>0</v>
      </c>
      <c r="K32" s="260">
        <f t="shared" si="5"/>
        <v>1511</v>
      </c>
    </row>
    <row r="33" spans="1:11" ht="12.75">
      <c r="A33" s="50"/>
      <c r="B33" s="34"/>
      <c r="C33" s="24"/>
      <c r="D33" s="25"/>
      <c r="E33" s="26"/>
      <c r="F33" s="24"/>
      <c r="G33" s="26"/>
      <c r="H33" s="24"/>
      <c r="I33" s="94"/>
      <c r="J33" s="116"/>
      <c r="K33" s="25"/>
    </row>
    <row r="34" spans="1:11" ht="12.75">
      <c r="A34" s="50" t="s">
        <v>64</v>
      </c>
      <c r="B34" t="s">
        <v>12</v>
      </c>
      <c r="C34" s="24">
        <v>25897</v>
      </c>
      <c r="D34" s="25">
        <v>25897</v>
      </c>
      <c r="E34" s="26">
        <v>-86</v>
      </c>
      <c r="F34" s="24">
        <v>0</v>
      </c>
      <c r="G34" s="26">
        <v>0</v>
      </c>
      <c r="H34" s="24">
        <v>0</v>
      </c>
      <c r="I34" s="94">
        <v>-276</v>
      </c>
      <c r="J34" s="116">
        <v>0</v>
      </c>
      <c r="K34" s="59">
        <f>SUM(D34:J34)+2-1</f>
        <v>25536</v>
      </c>
    </row>
    <row r="35" spans="1:11" s="11" customFormat="1" ht="12.75">
      <c r="A35" s="257"/>
      <c r="B35" s="259" t="s">
        <v>121</v>
      </c>
      <c r="C35" s="260">
        <f>SUM(C34)</f>
        <v>25897</v>
      </c>
      <c r="D35" s="260">
        <f aca="true" t="shared" si="6" ref="D35:K35">SUM(D34)</f>
        <v>25897</v>
      </c>
      <c r="E35" s="260">
        <f t="shared" si="6"/>
        <v>-86</v>
      </c>
      <c r="F35" s="260">
        <f t="shared" si="6"/>
        <v>0</v>
      </c>
      <c r="G35" s="260">
        <f t="shared" si="6"/>
        <v>0</v>
      </c>
      <c r="H35" s="260">
        <f t="shared" si="6"/>
        <v>0</v>
      </c>
      <c r="I35" s="260">
        <f t="shared" si="6"/>
        <v>-276</v>
      </c>
      <c r="J35" s="260">
        <f t="shared" si="6"/>
        <v>0</v>
      </c>
      <c r="K35" s="260">
        <f t="shared" si="6"/>
        <v>25536</v>
      </c>
    </row>
    <row r="36" spans="1:11" ht="12.75">
      <c r="A36" s="50"/>
      <c r="B36" s="34"/>
      <c r="C36" s="24"/>
      <c r="D36" s="25"/>
      <c r="E36" s="26"/>
      <c r="F36" s="24"/>
      <c r="G36" s="26"/>
      <c r="H36" s="24"/>
      <c r="I36" s="94"/>
      <c r="J36" s="116"/>
      <c r="K36" s="25"/>
    </row>
    <row r="37" spans="1:11" ht="12.75">
      <c r="A37" s="50" t="s">
        <v>168</v>
      </c>
      <c r="B37" t="s">
        <v>15</v>
      </c>
      <c r="C37" s="24">
        <v>19214</v>
      </c>
      <c r="D37" s="25">
        <v>10014</v>
      </c>
      <c r="E37" s="26">
        <v>-30</v>
      </c>
      <c r="F37" s="24">
        <v>0</v>
      </c>
      <c r="G37" s="26">
        <v>0</v>
      </c>
      <c r="H37" s="24">
        <v>0</v>
      </c>
      <c r="I37" s="94">
        <v>0</v>
      </c>
      <c r="J37" s="116">
        <v>0</v>
      </c>
      <c r="K37" s="59">
        <f>SUM(D37:J37)</f>
        <v>9984</v>
      </c>
    </row>
    <row r="38" spans="1:11" s="11" customFormat="1" ht="12.75">
      <c r="A38" s="257"/>
      <c r="B38" s="259" t="s">
        <v>122</v>
      </c>
      <c r="C38" s="260">
        <f>SUM(C37)</f>
        <v>19214</v>
      </c>
      <c r="D38" s="260">
        <f aca="true" t="shared" si="7" ref="D38:K38">SUM(D37)</f>
        <v>10014</v>
      </c>
      <c r="E38" s="260">
        <f t="shared" si="7"/>
        <v>-30</v>
      </c>
      <c r="F38" s="260">
        <f t="shared" si="7"/>
        <v>0</v>
      </c>
      <c r="G38" s="260">
        <f t="shared" si="7"/>
        <v>0</v>
      </c>
      <c r="H38" s="260">
        <f t="shared" si="7"/>
        <v>0</v>
      </c>
      <c r="I38" s="260">
        <f t="shared" si="7"/>
        <v>0</v>
      </c>
      <c r="J38" s="260">
        <f t="shared" si="7"/>
        <v>0</v>
      </c>
      <c r="K38" s="260">
        <f t="shared" si="7"/>
        <v>9984</v>
      </c>
    </row>
    <row r="39" spans="1:11" ht="12.75">
      <c r="A39" s="50"/>
      <c r="B39" s="35"/>
      <c r="C39" s="24"/>
      <c r="D39" s="25"/>
      <c r="E39" s="26"/>
      <c r="F39" s="24"/>
      <c r="G39" s="26"/>
      <c r="H39" s="24"/>
      <c r="I39" s="94"/>
      <c r="J39" s="116"/>
      <c r="K39" s="25"/>
    </row>
    <row r="40" spans="1:11" ht="12.75">
      <c r="A40" s="50" t="s">
        <v>62</v>
      </c>
      <c r="B40" t="s">
        <v>17</v>
      </c>
      <c r="C40" s="24">
        <v>5621</v>
      </c>
      <c r="D40" s="25">
        <v>8821</v>
      </c>
      <c r="E40" s="26">
        <v>-17</v>
      </c>
      <c r="F40" s="24">
        <v>0</v>
      </c>
      <c r="G40" s="26">
        <v>0</v>
      </c>
      <c r="H40" s="24">
        <v>0</v>
      </c>
      <c r="I40" s="94">
        <v>0</v>
      </c>
      <c r="J40" s="116">
        <v>0</v>
      </c>
      <c r="K40" s="59">
        <f>SUM(D40:J40)</f>
        <v>8804</v>
      </c>
    </row>
    <row r="41" spans="1:11" s="11" customFormat="1" ht="12.75">
      <c r="A41" s="257"/>
      <c r="B41" s="259" t="s">
        <v>66</v>
      </c>
      <c r="C41" s="260">
        <f>SUM(C40)</f>
        <v>5621</v>
      </c>
      <c r="D41" s="260">
        <f aca="true" t="shared" si="8" ref="D41:K41">SUM(D40)</f>
        <v>8821</v>
      </c>
      <c r="E41" s="260">
        <f t="shared" si="8"/>
        <v>-17</v>
      </c>
      <c r="F41" s="260">
        <f t="shared" si="8"/>
        <v>0</v>
      </c>
      <c r="G41" s="260">
        <f t="shared" si="8"/>
        <v>0</v>
      </c>
      <c r="H41" s="260">
        <f t="shared" si="8"/>
        <v>0</v>
      </c>
      <c r="I41" s="260">
        <f t="shared" si="8"/>
        <v>0</v>
      </c>
      <c r="J41" s="260">
        <f t="shared" si="8"/>
        <v>0</v>
      </c>
      <c r="K41" s="260">
        <f t="shared" si="8"/>
        <v>8804</v>
      </c>
    </row>
    <row r="42" spans="1:11" ht="12.75">
      <c r="A42" s="50"/>
      <c r="B42" s="23"/>
      <c r="C42" s="24"/>
      <c r="D42" s="25"/>
      <c r="E42" s="26"/>
      <c r="F42" s="24"/>
      <c r="G42" s="26"/>
      <c r="H42" s="24"/>
      <c r="I42" s="94"/>
      <c r="J42" s="116"/>
      <c r="K42" s="25"/>
    </row>
    <row r="43" spans="1:11" ht="12.75">
      <c r="A43" s="50" t="s">
        <v>169</v>
      </c>
      <c r="B43" t="s">
        <v>12</v>
      </c>
      <c r="C43" s="24">
        <v>11158</v>
      </c>
      <c r="D43" s="25">
        <v>11158</v>
      </c>
      <c r="E43" s="26">
        <v>-33</v>
      </c>
      <c r="F43" s="24">
        <v>0</v>
      </c>
      <c r="G43" s="26">
        <v>0</v>
      </c>
      <c r="H43" s="24">
        <v>0</v>
      </c>
      <c r="I43" s="94">
        <v>0</v>
      </c>
      <c r="J43" s="116">
        <v>0</v>
      </c>
      <c r="K43" s="59">
        <f>SUM(D43:J43)</f>
        <v>11125</v>
      </c>
    </row>
    <row r="44" spans="1:11" s="11" customFormat="1" ht="12.75">
      <c r="A44" s="257"/>
      <c r="B44" s="259" t="s">
        <v>123</v>
      </c>
      <c r="C44" s="260">
        <f>SUM(C43)</f>
        <v>11158</v>
      </c>
      <c r="D44" s="260">
        <f aca="true" t="shared" si="9" ref="D44:K44">SUM(D43)</f>
        <v>11158</v>
      </c>
      <c r="E44" s="260">
        <f t="shared" si="9"/>
        <v>-33</v>
      </c>
      <c r="F44" s="260">
        <f t="shared" si="9"/>
        <v>0</v>
      </c>
      <c r="G44" s="260">
        <f t="shared" si="9"/>
        <v>0</v>
      </c>
      <c r="H44" s="260">
        <f t="shared" si="9"/>
        <v>0</v>
      </c>
      <c r="I44" s="260">
        <f t="shared" si="9"/>
        <v>0</v>
      </c>
      <c r="J44" s="260">
        <f t="shared" si="9"/>
        <v>0</v>
      </c>
      <c r="K44" s="260">
        <f t="shared" si="9"/>
        <v>11125</v>
      </c>
    </row>
    <row r="45" spans="1:11" ht="12.75">
      <c r="A45" s="50"/>
      <c r="B45" s="23"/>
      <c r="C45" s="24"/>
      <c r="D45" s="25"/>
      <c r="E45" s="26"/>
      <c r="F45" s="24"/>
      <c r="G45" s="26"/>
      <c r="H45" s="24"/>
      <c r="I45" s="94"/>
      <c r="J45" s="116"/>
      <c r="K45" s="25"/>
    </row>
    <row r="46" spans="1:11" ht="12.75">
      <c r="A46" s="50" t="s">
        <v>170</v>
      </c>
      <c r="B46" t="s">
        <v>124</v>
      </c>
      <c r="C46" s="24">
        <v>1498</v>
      </c>
      <c r="D46" s="25">
        <v>1498</v>
      </c>
      <c r="E46" s="26">
        <v>-4</v>
      </c>
      <c r="F46" s="24">
        <v>0</v>
      </c>
      <c r="G46" s="26">
        <v>0</v>
      </c>
      <c r="H46" s="24">
        <v>0</v>
      </c>
      <c r="I46" s="94">
        <v>0</v>
      </c>
      <c r="J46" s="116">
        <v>0</v>
      </c>
      <c r="K46" s="59">
        <f>SUM(D46:J46)</f>
        <v>1494</v>
      </c>
    </row>
    <row r="47" spans="1:11" s="11" customFormat="1" ht="12.75">
      <c r="A47" s="257"/>
      <c r="B47" s="259" t="s">
        <v>125</v>
      </c>
      <c r="C47" s="260">
        <f>SUM(C46)</f>
        <v>1498</v>
      </c>
      <c r="D47" s="260">
        <f aca="true" t="shared" si="10" ref="D47:K47">SUM(D46)</f>
        <v>1498</v>
      </c>
      <c r="E47" s="260">
        <f t="shared" si="10"/>
        <v>-4</v>
      </c>
      <c r="F47" s="260">
        <f t="shared" si="10"/>
        <v>0</v>
      </c>
      <c r="G47" s="260">
        <f t="shared" si="10"/>
        <v>0</v>
      </c>
      <c r="H47" s="260">
        <f t="shared" si="10"/>
        <v>0</v>
      </c>
      <c r="I47" s="260">
        <f t="shared" si="10"/>
        <v>0</v>
      </c>
      <c r="J47" s="260">
        <f t="shared" si="10"/>
        <v>0</v>
      </c>
      <c r="K47" s="260">
        <f t="shared" si="10"/>
        <v>1494</v>
      </c>
    </row>
    <row r="48" spans="1:11" ht="12.75">
      <c r="A48" s="50"/>
      <c r="B48" s="34"/>
      <c r="C48" s="24"/>
      <c r="D48" s="25"/>
      <c r="E48" s="26"/>
      <c r="F48" s="24"/>
      <c r="G48" s="26"/>
      <c r="H48" s="24"/>
      <c r="I48" s="94"/>
      <c r="J48" s="116"/>
      <c r="K48" s="25"/>
    </row>
    <row r="49" spans="1:11" ht="12.75">
      <c r="A49" s="50" t="s">
        <v>171</v>
      </c>
      <c r="B49" t="s">
        <v>12</v>
      </c>
      <c r="C49" s="24">
        <v>2149</v>
      </c>
      <c r="D49" s="25">
        <v>2149</v>
      </c>
      <c r="E49" s="26">
        <v>-6</v>
      </c>
      <c r="F49" s="24">
        <v>0</v>
      </c>
      <c r="G49" s="26">
        <v>0</v>
      </c>
      <c r="H49" s="24">
        <v>0</v>
      </c>
      <c r="I49" s="94">
        <v>0</v>
      </c>
      <c r="J49" s="116">
        <v>0</v>
      </c>
      <c r="K49" s="59">
        <f>SUM(D49:J49)</f>
        <v>2143</v>
      </c>
    </row>
    <row r="50" spans="1:11" s="11" customFormat="1" ht="12.75">
      <c r="A50" s="257"/>
      <c r="B50" s="259" t="s">
        <v>126</v>
      </c>
      <c r="C50" s="260">
        <f>SUM(C49)</f>
        <v>2149</v>
      </c>
      <c r="D50" s="260">
        <f aca="true" t="shared" si="11" ref="D50:K50">SUM(D49)</f>
        <v>2149</v>
      </c>
      <c r="E50" s="260">
        <f t="shared" si="11"/>
        <v>-6</v>
      </c>
      <c r="F50" s="260">
        <f t="shared" si="11"/>
        <v>0</v>
      </c>
      <c r="G50" s="260">
        <f t="shared" si="11"/>
        <v>0</v>
      </c>
      <c r="H50" s="260">
        <f t="shared" si="11"/>
        <v>0</v>
      </c>
      <c r="I50" s="260">
        <f t="shared" si="11"/>
        <v>0</v>
      </c>
      <c r="J50" s="260">
        <f t="shared" si="11"/>
        <v>0</v>
      </c>
      <c r="K50" s="260">
        <f t="shared" si="11"/>
        <v>2143</v>
      </c>
    </row>
    <row r="51" spans="1:11" ht="12.75">
      <c r="A51" s="50"/>
      <c r="B51" s="23"/>
      <c r="C51" s="24"/>
      <c r="D51" s="25"/>
      <c r="E51" s="26"/>
      <c r="F51" s="24"/>
      <c r="G51" s="26"/>
      <c r="H51" s="24"/>
      <c r="I51" s="94"/>
      <c r="J51" s="116"/>
      <c r="K51" s="25"/>
    </row>
    <row r="52" spans="1:11" ht="12.75">
      <c r="A52" s="50" t="s">
        <v>172</v>
      </c>
      <c r="B52" t="s">
        <v>12</v>
      </c>
      <c r="C52" s="24">
        <v>689</v>
      </c>
      <c r="D52" s="25">
        <v>689</v>
      </c>
      <c r="E52" s="26">
        <v>-2</v>
      </c>
      <c r="F52" s="24">
        <v>0</v>
      </c>
      <c r="G52" s="26">
        <v>0</v>
      </c>
      <c r="H52" s="24">
        <v>0</v>
      </c>
      <c r="I52" s="94">
        <v>0</v>
      </c>
      <c r="J52" s="116">
        <v>0</v>
      </c>
      <c r="K52" s="59">
        <f>SUM(D52:J52)</f>
        <v>687</v>
      </c>
    </row>
    <row r="53" spans="1:11" s="11" customFormat="1" ht="12.75">
      <c r="A53" s="257"/>
      <c r="B53" s="259" t="s">
        <v>127</v>
      </c>
      <c r="C53" s="260">
        <f>SUM(C52)</f>
        <v>689</v>
      </c>
      <c r="D53" s="260">
        <f aca="true" t="shared" si="12" ref="D53:K53">SUM(D52)</f>
        <v>689</v>
      </c>
      <c r="E53" s="260">
        <f t="shared" si="12"/>
        <v>-2</v>
      </c>
      <c r="F53" s="260">
        <f t="shared" si="12"/>
        <v>0</v>
      </c>
      <c r="G53" s="260">
        <f t="shared" si="12"/>
        <v>0</v>
      </c>
      <c r="H53" s="260">
        <f t="shared" si="12"/>
        <v>0</v>
      </c>
      <c r="I53" s="260">
        <f t="shared" si="12"/>
        <v>0</v>
      </c>
      <c r="J53" s="260">
        <f t="shared" si="12"/>
        <v>0</v>
      </c>
      <c r="K53" s="260">
        <f t="shared" si="12"/>
        <v>687</v>
      </c>
    </row>
    <row r="54" spans="1:11" s="11" customFormat="1" ht="12.75">
      <c r="A54" s="50"/>
      <c r="C54" s="56"/>
      <c r="D54" s="56"/>
      <c r="E54" s="56"/>
      <c r="F54" s="56"/>
      <c r="G54" s="56"/>
      <c r="H54" s="56"/>
      <c r="I54" s="124"/>
      <c r="J54" s="124"/>
      <c r="K54" s="56"/>
    </row>
    <row r="55" spans="1:11" s="11" customFormat="1" ht="12.75">
      <c r="A55" s="50" t="s">
        <v>205</v>
      </c>
      <c r="B55" s="27" t="s">
        <v>206</v>
      </c>
      <c r="C55" s="24">
        <v>436</v>
      </c>
      <c r="D55" s="25">
        <v>436</v>
      </c>
      <c r="E55" s="26">
        <v>-1</v>
      </c>
      <c r="F55" s="24">
        <v>0</v>
      </c>
      <c r="G55" s="26">
        <v>0</v>
      </c>
      <c r="H55" s="24">
        <v>0</v>
      </c>
      <c r="I55" s="94">
        <v>0</v>
      </c>
      <c r="J55" s="116">
        <v>0</v>
      </c>
      <c r="K55" s="59">
        <f>SUM(D55:J55)</f>
        <v>435</v>
      </c>
    </row>
    <row r="56" spans="1:11" s="11" customFormat="1" ht="12.75">
      <c r="A56" s="257"/>
      <c r="B56" s="259" t="s">
        <v>204</v>
      </c>
      <c r="C56" s="260">
        <f>SUM(C55)</f>
        <v>436</v>
      </c>
      <c r="D56" s="260">
        <f aca="true" t="shared" si="13" ref="D56:K56">SUM(D55)</f>
        <v>436</v>
      </c>
      <c r="E56" s="260">
        <f t="shared" si="13"/>
        <v>-1</v>
      </c>
      <c r="F56" s="260">
        <f t="shared" si="13"/>
        <v>0</v>
      </c>
      <c r="G56" s="260">
        <f t="shared" si="13"/>
        <v>0</v>
      </c>
      <c r="H56" s="260">
        <f t="shared" si="13"/>
        <v>0</v>
      </c>
      <c r="I56" s="260">
        <f t="shared" si="13"/>
        <v>0</v>
      </c>
      <c r="J56" s="260">
        <f t="shared" si="13"/>
        <v>0</v>
      </c>
      <c r="K56" s="260">
        <f t="shared" si="13"/>
        <v>435</v>
      </c>
    </row>
    <row r="57" spans="1:11" s="11" customFormat="1" ht="12.75">
      <c r="A57" s="50"/>
      <c r="C57" s="56"/>
      <c r="D57" s="56"/>
      <c r="E57" s="56"/>
      <c r="F57" s="56"/>
      <c r="G57" s="56"/>
      <c r="H57" s="56"/>
      <c r="I57" s="124"/>
      <c r="J57" s="124"/>
      <c r="K57" s="56"/>
    </row>
    <row r="58" spans="1:11" s="11" customFormat="1" ht="12.75">
      <c r="A58" s="50" t="s">
        <v>179</v>
      </c>
      <c r="B58" s="93" t="s">
        <v>4</v>
      </c>
      <c r="C58" s="116">
        <v>4505</v>
      </c>
      <c r="D58" s="25">
        <v>4505</v>
      </c>
      <c r="E58" s="116">
        <v>-13</v>
      </c>
      <c r="F58" s="116">
        <v>0</v>
      </c>
      <c r="G58" s="26">
        <v>0</v>
      </c>
      <c r="H58" s="116">
        <v>0</v>
      </c>
      <c r="I58" s="94">
        <v>0</v>
      </c>
      <c r="J58" s="116">
        <f>SUM('FY 09-11 DD 1416 Tracker-Total'!AU70)</f>
        <v>0</v>
      </c>
      <c r="K58" s="59">
        <f>SUM(D58:J58)</f>
        <v>4492</v>
      </c>
    </row>
    <row r="59" spans="1:11" s="11" customFormat="1" ht="12.75">
      <c r="A59" s="257"/>
      <c r="B59" s="259" t="s">
        <v>48</v>
      </c>
      <c r="C59" s="260">
        <f aca="true" t="shared" si="14" ref="C59:K59">SUM(C58)</f>
        <v>4505</v>
      </c>
      <c r="D59" s="260">
        <f t="shared" si="14"/>
        <v>4505</v>
      </c>
      <c r="E59" s="260">
        <f t="shared" si="14"/>
        <v>-13</v>
      </c>
      <c r="F59" s="260">
        <f t="shared" si="14"/>
        <v>0</v>
      </c>
      <c r="G59" s="260">
        <f t="shared" si="14"/>
        <v>0</v>
      </c>
      <c r="H59" s="260">
        <f t="shared" si="14"/>
        <v>0</v>
      </c>
      <c r="I59" s="260">
        <f t="shared" si="14"/>
        <v>0</v>
      </c>
      <c r="J59" s="260">
        <f t="shared" si="14"/>
        <v>0</v>
      </c>
      <c r="K59" s="260">
        <f t="shared" si="14"/>
        <v>4492</v>
      </c>
    </row>
    <row r="60" spans="1:11" s="11" customFormat="1" ht="13.5" thickBot="1">
      <c r="A60" s="50"/>
      <c r="C60" s="56"/>
      <c r="D60" s="56"/>
      <c r="E60" s="56"/>
      <c r="F60" s="56"/>
      <c r="G60" s="56"/>
      <c r="H60" s="56"/>
      <c r="I60" s="124"/>
      <c r="J60" s="124"/>
      <c r="K60" s="56"/>
    </row>
    <row r="61" spans="1:11" s="52" customFormat="1" ht="13.5" thickBot="1">
      <c r="A61" s="245"/>
      <c r="B61" s="51" t="s">
        <v>232</v>
      </c>
      <c r="C61" s="38">
        <f>SUM(C9+C13+C26+C29+C32+C35+C38+C41+C44+C47+C50+C53+C56+C59)</f>
        <v>575166</v>
      </c>
      <c r="D61" s="38">
        <f aca="true" t="shared" si="15" ref="D61:K61">SUM(D9+D13+D26+D29+D32+D35+D38+D41+D44+D47+D50+D53+D56+D59)</f>
        <v>551414</v>
      </c>
      <c r="E61" s="38">
        <f t="shared" si="15"/>
        <v>-1625</v>
      </c>
      <c r="F61" s="38">
        <f t="shared" si="15"/>
        <v>0</v>
      </c>
      <c r="G61" s="38">
        <f t="shared" si="15"/>
        <v>0</v>
      </c>
      <c r="H61" s="38">
        <f t="shared" si="15"/>
        <v>0</v>
      </c>
      <c r="I61" s="38">
        <f t="shared" si="15"/>
        <v>-3433</v>
      </c>
      <c r="J61" s="38">
        <f t="shared" si="15"/>
        <v>0</v>
      </c>
      <c r="K61" s="38">
        <f t="shared" si="15"/>
        <v>546357</v>
      </c>
    </row>
    <row r="62" spans="1:11" ht="12.75">
      <c r="A62" s="246"/>
      <c r="B62" s="36"/>
      <c r="C62" s="24"/>
      <c r="D62" s="25"/>
      <c r="E62" s="26"/>
      <c r="F62" s="24"/>
      <c r="G62" s="26"/>
      <c r="H62" s="24"/>
      <c r="I62" s="94"/>
      <c r="J62" s="116"/>
      <c r="K62" s="25"/>
    </row>
    <row r="63" spans="1:13" ht="12.75">
      <c r="A63" s="50" t="s">
        <v>174</v>
      </c>
      <c r="B63" s="3" t="s">
        <v>22</v>
      </c>
      <c r="C63" s="24">
        <v>51950</v>
      </c>
      <c r="D63" s="25">
        <v>89350</v>
      </c>
      <c r="E63" s="26">
        <v>-153</v>
      </c>
      <c r="F63" s="24">
        <v>0</v>
      </c>
      <c r="G63" s="26">
        <v>0</v>
      </c>
      <c r="H63" s="24">
        <v>0</v>
      </c>
      <c r="I63" s="94">
        <v>0</v>
      </c>
      <c r="J63" s="116">
        <f>4194+2128</f>
        <v>6322</v>
      </c>
      <c r="K63" s="59">
        <f>SUM(D63:J63)</f>
        <v>95519</v>
      </c>
      <c r="L63" s="16"/>
      <c r="M63" s="16"/>
    </row>
    <row r="64" spans="1:13" ht="12.75">
      <c r="A64" s="50"/>
      <c r="B64" s="3" t="s">
        <v>254</v>
      </c>
      <c r="C64" s="24">
        <v>63667</v>
      </c>
      <c r="D64" s="25">
        <v>63667</v>
      </c>
      <c r="E64" s="26">
        <v>-188</v>
      </c>
      <c r="F64" s="24">
        <v>0</v>
      </c>
      <c r="G64" s="26">
        <v>0</v>
      </c>
      <c r="H64" s="24">
        <v>0</v>
      </c>
      <c r="I64" s="94">
        <v>366</v>
      </c>
      <c r="J64" s="116">
        <f>11201-2128</f>
        <v>9073</v>
      </c>
      <c r="K64" s="59">
        <f aca="true" t="shared" si="16" ref="K64:K98">SUM(D64:J64)</f>
        <v>72918</v>
      </c>
      <c r="L64" s="16"/>
      <c r="M64" s="16"/>
    </row>
    <row r="65" spans="1:13" ht="12.75">
      <c r="A65" s="50"/>
      <c r="B65" s="3" t="s">
        <v>23</v>
      </c>
      <c r="C65" s="24">
        <v>98163</v>
      </c>
      <c r="D65" s="25">
        <v>98163</v>
      </c>
      <c r="E65" s="26">
        <v>-400</v>
      </c>
      <c r="F65" s="24">
        <v>0</v>
      </c>
      <c r="G65" s="26">
        <v>0</v>
      </c>
      <c r="H65" s="24">
        <v>0</v>
      </c>
      <c r="I65" s="94">
        <v>0</v>
      </c>
      <c r="J65" s="116">
        <v>-1800</v>
      </c>
      <c r="K65" s="59">
        <f t="shared" si="16"/>
        <v>95963</v>
      </c>
      <c r="L65" s="16"/>
      <c r="M65" s="16"/>
    </row>
    <row r="66" spans="1:13" ht="12.75">
      <c r="A66" s="50"/>
      <c r="B66" s="3" t="s">
        <v>133</v>
      </c>
      <c r="C66" s="24">
        <v>39172</v>
      </c>
      <c r="D66" s="25">
        <v>39172</v>
      </c>
      <c r="E66" s="26">
        <v>-116</v>
      </c>
      <c r="F66" s="24">
        <v>0</v>
      </c>
      <c r="G66" s="26">
        <v>0</v>
      </c>
      <c r="H66" s="24">
        <v>0</v>
      </c>
      <c r="I66" s="94">
        <v>0</v>
      </c>
      <c r="J66" s="116">
        <v>10740</v>
      </c>
      <c r="K66" s="59">
        <f t="shared" si="16"/>
        <v>49796</v>
      </c>
      <c r="L66" s="16"/>
      <c r="M66" s="16"/>
    </row>
    <row r="67" spans="1:13" ht="12.75">
      <c r="A67" s="50"/>
      <c r="B67" s="3" t="s">
        <v>134</v>
      </c>
      <c r="C67" s="24">
        <v>36286</v>
      </c>
      <c r="D67" s="25">
        <v>11286</v>
      </c>
      <c r="E67" s="26">
        <v>-33</v>
      </c>
      <c r="F67" s="24">
        <v>0</v>
      </c>
      <c r="G67" s="26">
        <v>0</v>
      </c>
      <c r="H67" s="24">
        <v>0</v>
      </c>
      <c r="I67" s="94">
        <v>0</v>
      </c>
      <c r="J67" s="116">
        <v>0</v>
      </c>
      <c r="K67" s="59">
        <f t="shared" si="16"/>
        <v>11253</v>
      </c>
      <c r="L67" s="16"/>
      <c r="M67" s="16"/>
    </row>
    <row r="68" spans="1:13" ht="12.75">
      <c r="A68" s="50"/>
      <c r="B68" s="3" t="s">
        <v>219</v>
      </c>
      <c r="C68" s="24">
        <v>7659</v>
      </c>
      <c r="D68" s="25">
        <v>7659</v>
      </c>
      <c r="E68" s="26">
        <v>-23</v>
      </c>
      <c r="F68" s="24">
        <v>0</v>
      </c>
      <c r="G68" s="26">
        <v>0</v>
      </c>
      <c r="H68" s="24">
        <v>0</v>
      </c>
      <c r="I68" s="94">
        <v>0</v>
      </c>
      <c r="J68" s="116">
        <v>0</v>
      </c>
      <c r="K68" s="59">
        <f t="shared" si="16"/>
        <v>7636</v>
      </c>
      <c r="L68" s="16"/>
      <c r="M68" s="16"/>
    </row>
    <row r="69" spans="1:13" ht="12.75">
      <c r="A69" s="50"/>
      <c r="B69" s="3" t="s">
        <v>24</v>
      </c>
      <c r="C69" s="24">
        <v>162971</v>
      </c>
      <c r="D69" s="25">
        <v>162971</v>
      </c>
      <c r="E69" s="26">
        <v>-481</v>
      </c>
      <c r="F69" s="24">
        <v>0</v>
      </c>
      <c r="G69" s="26">
        <v>0</v>
      </c>
      <c r="H69" s="24">
        <v>0</v>
      </c>
      <c r="I69" s="94">
        <v>0</v>
      </c>
      <c r="J69" s="116">
        <v>-7460</v>
      </c>
      <c r="K69" s="59">
        <f t="shared" si="16"/>
        <v>155030</v>
      </c>
      <c r="L69" s="16"/>
      <c r="M69" s="16"/>
    </row>
    <row r="70" spans="1:13" ht="12.75">
      <c r="A70" s="50"/>
      <c r="B70" s="3" t="s">
        <v>25</v>
      </c>
      <c r="C70" s="24">
        <v>47018</v>
      </c>
      <c r="D70" s="25">
        <v>33277</v>
      </c>
      <c r="E70" s="26">
        <v>-98</v>
      </c>
      <c r="F70" s="24">
        <v>0</v>
      </c>
      <c r="G70" s="26">
        <v>17000</v>
      </c>
      <c r="H70" s="24">
        <v>0</v>
      </c>
      <c r="I70" s="94">
        <v>141300</v>
      </c>
      <c r="J70" s="116">
        <v>-2392</v>
      </c>
      <c r="K70" s="59">
        <f t="shared" si="16"/>
        <v>189087</v>
      </c>
      <c r="L70" s="16"/>
      <c r="M70" s="16"/>
    </row>
    <row r="71" spans="1:13" ht="12.75">
      <c r="A71" s="50"/>
      <c r="B71" s="3" t="s">
        <v>26</v>
      </c>
      <c r="C71" s="24">
        <v>1347</v>
      </c>
      <c r="D71" s="25">
        <v>1347</v>
      </c>
      <c r="E71" s="26">
        <v>-4</v>
      </c>
      <c r="F71" s="24">
        <v>0</v>
      </c>
      <c r="G71" s="26">
        <v>0</v>
      </c>
      <c r="H71" s="24">
        <v>0</v>
      </c>
      <c r="I71" s="94">
        <v>0</v>
      </c>
      <c r="J71" s="116">
        <v>-237</v>
      </c>
      <c r="K71" s="59">
        <f t="shared" si="16"/>
        <v>1106</v>
      </c>
      <c r="L71" s="16"/>
      <c r="M71" s="16"/>
    </row>
    <row r="72" spans="1:13" ht="12.75">
      <c r="A72" s="50"/>
      <c r="B72" s="3" t="s">
        <v>27</v>
      </c>
      <c r="C72" s="24">
        <v>5760</v>
      </c>
      <c r="D72" s="25">
        <v>5760</v>
      </c>
      <c r="E72" s="26">
        <v>-17</v>
      </c>
      <c r="F72" s="24">
        <v>0</v>
      </c>
      <c r="G72" s="26">
        <v>-5200</v>
      </c>
      <c r="H72" s="24">
        <v>0</v>
      </c>
      <c r="I72" s="94">
        <v>0</v>
      </c>
      <c r="J72" s="116">
        <v>0</v>
      </c>
      <c r="K72" s="59">
        <f t="shared" si="16"/>
        <v>543</v>
      </c>
      <c r="L72" s="365"/>
      <c r="M72" s="16"/>
    </row>
    <row r="73" spans="1:13" ht="12.75">
      <c r="A73" s="50"/>
      <c r="B73" s="3" t="s">
        <v>28</v>
      </c>
      <c r="C73" s="24">
        <v>7061</v>
      </c>
      <c r="D73" s="25">
        <v>7061</v>
      </c>
      <c r="E73" s="26">
        <v>-21</v>
      </c>
      <c r="F73" s="24">
        <v>0</v>
      </c>
      <c r="G73" s="26">
        <v>0</v>
      </c>
      <c r="H73" s="24">
        <v>0</v>
      </c>
      <c r="I73" s="94">
        <v>0</v>
      </c>
      <c r="J73" s="116">
        <v>0</v>
      </c>
      <c r="K73" s="59">
        <f t="shared" si="16"/>
        <v>7040</v>
      </c>
      <c r="L73" s="16"/>
      <c r="M73" s="16"/>
    </row>
    <row r="74" spans="1:13" ht="12.75">
      <c r="A74" s="50"/>
      <c r="B74" s="3" t="s">
        <v>135</v>
      </c>
      <c r="C74" s="24">
        <v>67083</v>
      </c>
      <c r="D74" s="25">
        <v>67083</v>
      </c>
      <c r="E74" s="26">
        <v>-198</v>
      </c>
      <c r="F74" s="24">
        <v>0</v>
      </c>
      <c r="G74" s="26">
        <f>43640+1000</f>
        <v>44640</v>
      </c>
      <c r="H74" s="24">
        <v>0</v>
      </c>
      <c r="I74" s="94">
        <v>0</v>
      </c>
      <c r="J74" s="116">
        <v>-5924</v>
      </c>
      <c r="K74" s="59">
        <f t="shared" si="16"/>
        <v>105601</v>
      </c>
      <c r="L74" s="16"/>
      <c r="M74" s="16"/>
    </row>
    <row r="75" spans="1:13" ht="12.75">
      <c r="A75" s="50"/>
      <c r="B75" s="3" t="s">
        <v>136</v>
      </c>
      <c r="C75" s="24">
        <v>5540</v>
      </c>
      <c r="D75" s="25">
        <v>12540</v>
      </c>
      <c r="E75" s="26">
        <v>-37</v>
      </c>
      <c r="F75" s="24">
        <v>0</v>
      </c>
      <c r="G75" s="26">
        <v>0</v>
      </c>
      <c r="H75" s="24">
        <v>0</v>
      </c>
      <c r="I75" s="94">
        <v>0</v>
      </c>
      <c r="J75" s="116">
        <v>7051</v>
      </c>
      <c r="K75" s="59">
        <f t="shared" si="16"/>
        <v>19554</v>
      </c>
      <c r="L75" s="16"/>
      <c r="M75" s="16"/>
    </row>
    <row r="76" spans="1:13" ht="12.75">
      <c r="A76" s="50"/>
      <c r="B76" s="3" t="s">
        <v>137</v>
      </c>
      <c r="C76" s="24">
        <v>67220</v>
      </c>
      <c r="D76" s="25">
        <v>73220</v>
      </c>
      <c r="E76" s="26">
        <v>-216</v>
      </c>
      <c r="F76" s="24">
        <v>0</v>
      </c>
      <c r="G76" s="26">
        <v>3100</v>
      </c>
      <c r="H76" s="24">
        <v>0</v>
      </c>
      <c r="I76" s="94">
        <v>0</v>
      </c>
      <c r="J76" s="116">
        <v>7058</v>
      </c>
      <c r="K76" s="59">
        <f t="shared" si="16"/>
        <v>83162</v>
      </c>
      <c r="L76" s="16"/>
      <c r="M76" s="16"/>
    </row>
    <row r="77" spans="1:13" ht="12.75">
      <c r="A77" s="50"/>
      <c r="B77" s="3" t="s">
        <v>29</v>
      </c>
      <c r="C77" s="24">
        <v>54122</v>
      </c>
      <c r="D77" s="25">
        <v>56122</v>
      </c>
      <c r="E77" s="26">
        <v>-165</v>
      </c>
      <c r="F77" s="24">
        <v>0</v>
      </c>
      <c r="G77" s="26">
        <v>8100</v>
      </c>
      <c r="H77" s="24">
        <v>0</v>
      </c>
      <c r="I77" s="94">
        <v>0</v>
      </c>
      <c r="J77" s="116">
        <v>2391</v>
      </c>
      <c r="K77" s="59">
        <f t="shared" si="16"/>
        <v>66448</v>
      </c>
      <c r="L77" s="16"/>
      <c r="M77" s="16"/>
    </row>
    <row r="78" spans="1:13" ht="12.75">
      <c r="A78" s="50"/>
      <c r="B78" s="3" t="s">
        <v>31</v>
      </c>
      <c r="C78" s="24">
        <v>15689</v>
      </c>
      <c r="D78" s="25">
        <v>23489</v>
      </c>
      <c r="E78" s="26">
        <v>-69</v>
      </c>
      <c r="F78" s="24">
        <v>0</v>
      </c>
      <c r="G78" s="26">
        <v>16250</v>
      </c>
      <c r="H78" s="24">
        <v>0</v>
      </c>
      <c r="I78" s="94">
        <v>0</v>
      </c>
      <c r="J78" s="116">
        <f>-103-16250</f>
        <v>-16353</v>
      </c>
      <c r="K78" s="59">
        <f t="shared" si="16"/>
        <v>23317</v>
      </c>
      <c r="L78" s="16"/>
      <c r="M78" s="16"/>
    </row>
    <row r="79" spans="1:13" ht="12.75">
      <c r="A79" s="50"/>
      <c r="B79" s="3" t="s">
        <v>32</v>
      </c>
      <c r="C79" s="24">
        <v>1265</v>
      </c>
      <c r="D79" s="25">
        <v>1265</v>
      </c>
      <c r="E79" s="26">
        <v>-4</v>
      </c>
      <c r="F79" s="24">
        <v>0</v>
      </c>
      <c r="G79" s="26">
        <v>0</v>
      </c>
      <c r="H79" s="24">
        <v>0</v>
      </c>
      <c r="I79" s="94">
        <v>0</v>
      </c>
      <c r="J79" s="116">
        <v>0</v>
      </c>
      <c r="K79" s="59">
        <f t="shared" si="16"/>
        <v>1261</v>
      </c>
      <c r="L79" s="16"/>
      <c r="M79" s="16"/>
    </row>
    <row r="80" spans="1:13" ht="12.75">
      <c r="A80" s="50"/>
      <c r="B80" s="3" t="s">
        <v>138</v>
      </c>
      <c r="C80" s="24">
        <v>12484</v>
      </c>
      <c r="D80" s="25">
        <v>12484</v>
      </c>
      <c r="E80" s="26">
        <v>-37</v>
      </c>
      <c r="F80" s="24">
        <v>0</v>
      </c>
      <c r="G80" s="26">
        <v>0</v>
      </c>
      <c r="H80" s="24">
        <v>0</v>
      </c>
      <c r="I80" s="94">
        <v>0</v>
      </c>
      <c r="J80" s="116">
        <v>0</v>
      </c>
      <c r="K80" s="59">
        <f t="shared" si="16"/>
        <v>12447</v>
      </c>
      <c r="L80" s="16"/>
      <c r="M80" s="16"/>
    </row>
    <row r="81" spans="1:13" ht="12.75">
      <c r="A81" s="50"/>
      <c r="B81" s="3" t="s">
        <v>33</v>
      </c>
      <c r="C81" s="24">
        <v>18795</v>
      </c>
      <c r="D81" s="25">
        <v>21675</v>
      </c>
      <c r="E81" s="26">
        <v>-64</v>
      </c>
      <c r="F81" s="24">
        <v>0</v>
      </c>
      <c r="G81" s="26">
        <v>0</v>
      </c>
      <c r="H81" s="24">
        <v>0</v>
      </c>
      <c r="I81" s="94">
        <v>0</v>
      </c>
      <c r="J81" s="116">
        <v>-495</v>
      </c>
      <c r="K81" s="59">
        <f t="shared" si="16"/>
        <v>21116</v>
      </c>
      <c r="L81" s="16"/>
      <c r="M81" s="16"/>
    </row>
    <row r="82" spans="1:13" ht="12.75">
      <c r="A82" s="50"/>
      <c r="B82" s="3" t="s">
        <v>34</v>
      </c>
      <c r="C82" s="24">
        <v>3272</v>
      </c>
      <c r="D82" s="25">
        <v>3272</v>
      </c>
      <c r="E82" s="26">
        <v>-10</v>
      </c>
      <c r="F82" s="24">
        <v>0</v>
      </c>
      <c r="G82" s="26">
        <v>0</v>
      </c>
      <c r="H82" s="24">
        <v>0</v>
      </c>
      <c r="I82" s="94">
        <v>0</v>
      </c>
      <c r="J82" s="116">
        <v>-651</v>
      </c>
      <c r="K82" s="59">
        <f t="shared" si="16"/>
        <v>2611</v>
      </c>
      <c r="L82" s="16"/>
      <c r="M82" s="16"/>
    </row>
    <row r="83" spans="1:13" ht="12.75">
      <c r="A83" s="50"/>
      <c r="B83" s="3" t="s">
        <v>35</v>
      </c>
      <c r="C83" s="24">
        <v>3702</v>
      </c>
      <c r="D83" s="25">
        <v>3702</v>
      </c>
      <c r="E83" s="26">
        <v>-11</v>
      </c>
      <c r="F83" s="24">
        <v>0</v>
      </c>
      <c r="G83" s="26">
        <v>-6400</v>
      </c>
      <c r="H83" s="24">
        <v>0</v>
      </c>
      <c r="I83" s="94">
        <f>17000+142000</f>
        <v>159000</v>
      </c>
      <c r="J83" s="116">
        <f>900+6400</f>
        <v>7300</v>
      </c>
      <c r="K83" s="59">
        <f t="shared" si="16"/>
        <v>163591</v>
      </c>
      <c r="L83" s="16"/>
      <c r="M83" s="16"/>
    </row>
    <row r="84" spans="1:13" ht="12.75">
      <c r="A84" s="50"/>
      <c r="B84" s="3" t="s">
        <v>139</v>
      </c>
      <c r="C84" s="24">
        <v>34151</v>
      </c>
      <c r="D84" s="25">
        <v>36151</v>
      </c>
      <c r="E84" s="26">
        <v>-107</v>
      </c>
      <c r="F84" s="24">
        <v>0</v>
      </c>
      <c r="G84" s="26">
        <v>0</v>
      </c>
      <c r="H84" s="24">
        <v>0</v>
      </c>
      <c r="I84" s="94">
        <v>0</v>
      </c>
      <c r="J84" s="116">
        <v>0</v>
      </c>
      <c r="K84" s="59">
        <f t="shared" si="16"/>
        <v>36044</v>
      </c>
      <c r="L84" s="16"/>
      <c r="M84" s="16"/>
    </row>
    <row r="85" spans="1:13" ht="12.75">
      <c r="A85" s="50"/>
      <c r="B85" s="3" t="s">
        <v>140</v>
      </c>
      <c r="C85" s="24">
        <v>21593</v>
      </c>
      <c r="D85" s="25">
        <v>20000</v>
      </c>
      <c r="E85" s="26">
        <v>-59</v>
      </c>
      <c r="F85" s="24">
        <v>0</v>
      </c>
      <c r="G85" s="26">
        <v>0</v>
      </c>
      <c r="H85" s="24">
        <v>0</v>
      </c>
      <c r="I85" s="94">
        <v>0</v>
      </c>
      <c r="J85" s="116">
        <v>1059</v>
      </c>
      <c r="K85" s="59">
        <f t="shared" si="16"/>
        <v>21000</v>
      </c>
      <c r="L85" s="16"/>
      <c r="M85" s="16"/>
    </row>
    <row r="86" spans="1:13" ht="12.75">
      <c r="A86" s="50"/>
      <c r="B86" s="3" t="s">
        <v>36</v>
      </c>
      <c r="C86" s="24">
        <v>11722</v>
      </c>
      <c r="D86" s="25">
        <v>11722</v>
      </c>
      <c r="E86" s="26">
        <v>-35</v>
      </c>
      <c r="F86" s="24">
        <v>0</v>
      </c>
      <c r="G86" s="26">
        <v>0</v>
      </c>
      <c r="H86" s="24">
        <v>0</v>
      </c>
      <c r="I86" s="94">
        <v>0</v>
      </c>
      <c r="J86" s="116">
        <v>-2337</v>
      </c>
      <c r="K86" s="59">
        <f t="shared" si="16"/>
        <v>9350</v>
      </c>
      <c r="L86" s="16"/>
      <c r="M86" s="16"/>
    </row>
    <row r="87" spans="1:13" ht="12.75">
      <c r="A87" s="50"/>
      <c r="B87" s="3" t="s">
        <v>37</v>
      </c>
      <c r="C87" s="24">
        <v>27194</v>
      </c>
      <c r="D87" s="25">
        <v>55561</v>
      </c>
      <c r="E87" s="26">
        <v>-164</v>
      </c>
      <c r="F87" s="24">
        <v>0</v>
      </c>
      <c r="G87" s="26">
        <v>0</v>
      </c>
      <c r="H87" s="24">
        <v>0</v>
      </c>
      <c r="I87" s="94">
        <v>0</v>
      </c>
      <c r="J87" s="116">
        <f>0-6400</f>
        <v>-6400</v>
      </c>
      <c r="K87" s="59">
        <f t="shared" si="16"/>
        <v>48997</v>
      </c>
      <c r="L87" s="16"/>
      <c r="M87" s="16"/>
    </row>
    <row r="88" spans="1:13" ht="12.75">
      <c r="A88" s="50"/>
      <c r="B88" s="3" t="s">
        <v>220</v>
      </c>
      <c r="C88" s="24">
        <v>55248</v>
      </c>
      <c r="D88" s="25">
        <v>55248</v>
      </c>
      <c r="E88" s="26">
        <v>-163</v>
      </c>
      <c r="F88" s="24">
        <v>0</v>
      </c>
      <c r="G88" s="26">
        <v>0</v>
      </c>
      <c r="H88" s="24">
        <v>0</v>
      </c>
      <c r="I88" s="94">
        <v>0</v>
      </c>
      <c r="J88" s="116">
        <f>288+263</f>
        <v>551</v>
      </c>
      <c r="K88" s="59">
        <f t="shared" si="16"/>
        <v>55636</v>
      </c>
      <c r="L88" s="16"/>
      <c r="M88" s="16"/>
    </row>
    <row r="89" spans="1:13" ht="12.75">
      <c r="A89" s="50"/>
      <c r="B89" s="117" t="s">
        <v>221</v>
      </c>
      <c r="C89" s="24">
        <v>15862</v>
      </c>
      <c r="D89" s="25">
        <v>15862</v>
      </c>
      <c r="E89" s="26">
        <v>-47</v>
      </c>
      <c r="F89" s="24">
        <v>0</v>
      </c>
      <c r="G89" s="26">
        <v>0</v>
      </c>
      <c r="H89" s="24">
        <v>0</v>
      </c>
      <c r="I89" s="94">
        <v>0</v>
      </c>
      <c r="J89" s="116">
        <v>0</v>
      </c>
      <c r="K89" s="59">
        <f>SUM(D89:J89)</f>
        <v>15815</v>
      </c>
      <c r="L89" s="16"/>
      <c r="M89" s="16"/>
    </row>
    <row r="90" spans="1:13" ht="12.75">
      <c r="A90" s="50"/>
      <c r="B90" s="3" t="s">
        <v>223</v>
      </c>
      <c r="C90" s="24">
        <v>25892</v>
      </c>
      <c r="D90" s="25">
        <v>25892</v>
      </c>
      <c r="E90" s="26">
        <v>-76</v>
      </c>
      <c r="F90" s="24">
        <v>0</v>
      </c>
      <c r="G90" s="26">
        <v>33750</v>
      </c>
      <c r="H90" s="24">
        <v>0</v>
      </c>
      <c r="I90" s="94">
        <v>0</v>
      </c>
      <c r="J90" s="116">
        <f>0+5000</f>
        <v>5000</v>
      </c>
      <c r="K90" s="59">
        <f>SUM(D90:J90)</f>
        <v>64566</v>
      </c>
      <c r="L90" s="16"/>
      <c r="M90" s="16"/>
    </row>
    <row r="91" spans="1:13" ht="12.75">
      <c r="A91" s="50"/>
      <c r="B91" s="117" t="s">
        <v>222</v>
      </c>
      <c r="C91" s="24">
        <v>15455</v>
      </c>
      <c r="D91" s="25">
        <v>19455</v>
      </c>
      <c r="E91" s="26">
        <v>-57</v>
      </c>
      <c r="F91" s="24">
        <v>0</v>
      </c>
      <c r="G91" s="26">
        <v>0</v>
      </c>
      <c r="H91" s="24">
        <v>0</v>
      </c>
      <c r="I91" s="94">
        <v>0</v>
      </c>
      <c r="J91" s="116">
        <f>-3917+16250</f>
        <v>12333</v>
      </c>
      <c r="K91" s="59">
        <f>SUM(D91:J91)</f>
        <v>31731</v>
      </c>
      <c r="L91" s="16"/>
      <c r="M91" s="16"/>
    </row>
    <row r="92" spans="1:13" ht="12.75">
      <c r="A92" s="50"/>
      <c r="B92" s="117" t="s">
        <v>224</v>
      </c>
      <c r="C92" s="24">
        <v>30201</v>
      </c>
      <c r="D92" s="25">
        <v>25351</v>
      </c>
      <c r="E92" s="26">
        <v>-75</v>
      </c>
      <c r="F92" s="24">
        <v>0</v>
      </c>
      <c r="G92" s="26">
        <v>0</v>
      </c>
      <c r="H92" s="24">
        <v>0</v>
      </c>
      <c r="I92" s="94">
        <v>0</v>
      </c>
      <c r="J92" s="116">
        <f>104-67</f>
        <v>37</v>
      </c>
      <c r="K92" s="59">
        <f>SUM(D92:J92)</f>
        <v>25313</v>
      </c>
      <c r="L92" s="16"/>
      <c r="M92" s="16"/>
    </row>
    <row r="93" spans="1:13" ht="12.75">
      <c r="A93" s="50"/>
      <c r="B93" s="117" t="s">
        <v>225</v>
      </c>
      <c r="C93" s="24">
        <v>33966</v>
      </c>
      <c r="D93" s="25">
        <v>23566</v>
      </c>
      <c r="E93" s="26">
        <v>-69</v>
      </c>
      <c r="F93" s="24">
        <v>0</v>
      </c>
      <c r="G93" s="26">
        <v>0</v>
      </c>
      <c r="H93" s="24">
        <v>0</v>
      </c>
      <c r="I93" s="94">
        <v>11162</v>
      </c>
      <c r="J93" s="116">
        <v>-3686</v>
      </c>
      <c r="K93" s="59">
        <f>SUM(D93:J93)</f>
        <v>30973</v>
      </c>
      <c r="L93" s="16"/>
      <c r="M93" s="16"/>
    </row>
    <row r="94" spans="1:13" ht="12.75">
      <c r="A94" s="50"/>
      <c r="B94" s="117" t="s">
        <v>38</v>
      </c>
      <c r="C94" s="24">
        <v>13450</v>
      </c>
      <c r="D94" s="25">
        <v>13450</v>
      </c>
      <c r="E94" s="26">
        <v>-40</v>
      </c>
      <c r="F94" s="24">
        <v>0</v>
      </c>
      <c r="G94" s="26">
        <v>0</v>
      </c>
      <c r="H94" s="24">
        <v>0</v>
      </c>
      <c r="I94" s="94">
        <v>0</v>
      </c>
      <c r="J94" s="116">
        <v>0</v>
      </c>
      <c r="K94" s="59">
        <f t="shared" si="16"/>
        <v>13410</v>
      </c>
      <c r="L94" s="16"/>
      <c r="M94" s="16"/>
    </row>
    <row r="95" spans="1:13" ht="12.75">
      <c r="A95" s="50"/>
      <c r="B95" s="117" t="s">
        <v>39</v>
      </c>
      <c r="C95" s="24">
        <v>15331</v>
      </c>
      <c r="D95" s="25">
        <v>15331</v>
      </c>
      <c r="E95" s="26">
        <v>-45</v>
      </c>
      <c r="F95" s="24">
        <v>0</v>
      </c>
      <c r="G95" s="26">
        <v>0</v>
      </c>
      <c r="H95" s="24">
        <v>0</v>
      </c>
      <c r="I95" s="94">
        <v>0</v>
      </c>
      <c r="J95" s="116">
        <v>-3014</v>
      </c>
      <c r="K95" s="59">
        <f t="shared" si="16"/>
        <v>12272</v>
      </c>
      <c r="L95" s="16"/>
      <c r="M95" s="16"/>
    </row>
    <row r="96" spans="1:13" ht="12.75">
      <c r="A96" s="50"/>
      <c r="B96" s="117" t="s">
        <v>198</v>
      </c>
      <c r="C96" s="24">
        <v>315443</v>
      </c>
      <c r="D96" s="25">
        <v>319443</v>
      </c>
      <c r="E96" s="26">
        <v>-941</v>
      </c>
      <c r="F96" s="24">
        <v>0</v>
      </c>
      <c r="G96" s="26">
        <v>1797</v>
      </c>
      <c r="H96" s="24">
        <v>0</v>
      </c>
      <c r="I96" s="94">
        <v>0</v>
      </c>
      <c r="J96" s="116">
        <f>-7042-4999</f>
        <v>-12041</v>
      </c>
      <c r="K96" s="59">
        <f t="shared" si="16"/>
        <v>308258</v>
      </c>
      <c r="L96" s="16"/>
      <c r="M96" s="16"/>
    </row>
    <row r="97" spans="1:13" ht="12.75">
      <c r="A97" s="50"/>
      <c r="B97" s="117" t="s">
        <v>40</v>
      </c>
      <c r="C97" s="24">
        <v>64778</v>
      </c>
      <c r="D97" s="25">
        <v>55778</v>
      </c>
      <c r="E97" s="26">
        <v>-164</v>
      </c>
      <c r="F97" s="24">
        <v>0</v>
      </c>
      <c r="G97" s="26">
        <v>0</v>
      </c>
      <c r="H97" s="24">
        <v>0</v>
      </c>
      <c r="I97" s="94">
        <v>-18662</v>
      </c>
      <c r="J97" s="116">
        <f>-5928-196</f>
        <v>-6124</v>
      </c>
      <c r="K97" s="59">
        <f t="shared" si="16"/>
        <v>30828</v>
      </c>
      <c r="L97" s="16"/>
      <c r="M97" s="16"/>
    </row>
    <row r="98" spans="1:13" ht="13.5" thickBot="1">
      <c r="A98" s="50"/>
      <c r="B98" s="31" t="s">
        <v>185</v>
      </c>
      <c r="C98" s="24">
        <v>0</v>
      </c>
      <c r="D98" s="25">
        <v>0</v>
      </c>
      <c r="E98" s="26">
        <v>0</v>
      </c>
      <c r="F98" s="24">
        <v>0</v>
      </c>
      <c r="G98" s="26">
        <v>0</v>
      </c>
      <c r="H98" s="24">
        <v>0</v>
      </c>
      <c r="I98" s="94">
        <f>2407+124+548</f>
        <v>3079</v>
      </c>
      <c r="J98" s="116">
        <v>0</v>
      </c>
      <c r="K98" s="59">
        <f t="shared" si="16"/>
        <v>3079</v>
      </c>
      <c r="L98" s="16"/>
      <c r="M98" s="16"/>
    </row>
    <row r="99" spans="1:13" s="11" customFormat="1" ht="13.5" thickBot="1">
      <c r="A99" s="247"/>
      <c r="B99" s="37" t="s">
        <v>233</v>
      </c>
      <c r="C99" s="38">
        <f aca="true" t="shared" si="17" ref="C99:K99">SUM(C63:C98)</f>
        <v>1450512</v>
      </c>
      <c r="D99" s="38">
        <f t="shared" si="17"/>
        <v>1487375</v>
      </c>
      <c r="E99" s="38">
        <f t="shared" si="17"/>
        <v>-4387</v>
      </c>
      <c r="F99" s="38">
        <f t="shared" si="17"/>
        <v>0</v>
      </c>
      <c r="G99" s="38">
        <f t="shared" si="17"/>
        <v>113037</v>
      </c>
      <c r="H99" s="38">
        <f t="shared" si="17"/>
        <v>0</v>
      </c>
      <c r="I99" s="38">
        <f t="shared" si="17"/>
        <v>296245</v>
      </c>
      <c r="J99" s="38">
        <f>SUM(J63:J98)-1</f>
        <v>0</v>
      </c>
      <c r="K99" s="38">
        <f t="shared" si="17"/>
        <v>1892271</v>
      </c>
      <c r="L99" s="10"/>
      <c r="M99" s="10"/>
    </row>
    <row r="100" spans="1:11" ht="12.75">
      <c r="A100" s="49"/>
      <c r="B100" s="40"/>
      <c r="C100" s="24"/>
      <c r="D100" s="25"/>
      <c r="E100" s="26"/>
      <c r="F100" s="24"/>
      <c r="G100" s="26"/>
      <c r="H100" s="24"/>
      <c r="I100" s="94"/>
      <c r="J100" s="116"/>
      <c r="K100" s="25"/>
    </row>
    <row r="101" spans="1:11" ht="12.75">
      <c r="A101" s="49" t="s">
        <v>173</v>
      </c>
      <c r="B101" s="3" t="s">
        <v>42</v>
      </c>
      <c r="C101" s="24">
        <v>88565</v>
      </c>
      <c r="D101" s="25">
        <v>88565</v>
      </c>
      <c r="E101" s="26">
        <v>-261</v>
      </c>
      <c r="F101" s="24">
        <v>0</v>
      </c>
      <c r="G101" s="24">
        <v>0</v>
      </c>
      <c r="H101" s="24">
        <v>0</v>
      </c>
      <c r="I101" s="24">
        <v>0</v>
      </c>
      <c r="J101" s="116">
        <f>SUM('FY 09-11 DD 1416 Tracker-Total'!AU139)</f>
        <v>99</v>
      </c>
      <c r="K101" s="25">
        <f aca="true" t="shared" si="18" ref="K101:K106">SUM(D101:J101)</f>
        <v>88403</v>
      </c>
    </row>
    <row r="102" spans="1:11" ht="12.75">
      <c r="A102" s="49"/>
      <c r="B102" s="3" t="s">
        <v>43</v>
      </c>
      <c r="C102" s="24">
        <v>80211</v>
      </c>
      <c r="D102" s="25">
        <v>80211</v>
      </c>
      <c r="E102" s="26">
        <v>-237</v>
      </c>
      <c r="F102" s="24">
        <v>0</v>
      </c>
      <c r="G102" s="24">
        <v>0</v>
      </c>
      <c r="H102" s="24">
        <v>0</v>
      </c>
      <c r="I102" s="24">
        <v>0</v>
      </c>
      <c r="J102" s="116">
        <f>SUM('FY 09-11 DD 1416 Tracker-Total'!AU140)</f>
        <v>-99</v>
      </c>
      <c r="K102" s="25">
        <f t="shared" si="18"/>
        <v>79875</v>
      </c>
    </row>
    <row r="103" spans="1:11" ht="12.75">
      <c r="A103" s="49"/>
      <c r="B103" s="3" t="s">
        <v>44</v>
      </c>
      <c r="C103" s="24">
        <v>22299</v>
      </c>
      <c r="D103" s="25">
        <v>25579</v>
      </c>
      <c r="E103" s="26">
        <v>-75</v>
      </c>
      <c r="F103" s="24">
        <v>0</v>
      </c>
      <c r="G103" s="24">
        <v>0</v>
      </c>
      <c r="H103" s="24">
        <v>0</v>
      </c>
      <c r="I103" s="24">
        <v>0</v>
      </c>
      <c r="J103" s="116">
        <f>SUM('FY 09-11 DD 1416 Tracker-Total'!AU141)</f>
        <v>-5100</v>
      </c>
      <c r="K103" s="25">
        <f t="shared" si="18"/>
        <v>20404</v>
      </c>
    </row>
    <row r="104" spans="1:11" ht="12.75">
      <c r="A104" s="49"/>
      <c r="B104" s="3" t="s">
        <v>45</v>
      </c>
      <c r="C104" s="24">
        <v>38702</v>
      </c>
      <c r="D104" s="25">
        <v>38702</v>
      </c>
      <c r="E104" s="26">
        <v>-114</v>
      </c>
      <c r="F104" s="24">
        <v>0</v>
      </c>
      <c r="G104" s="24">
        <v>0</v>
      </c>
      <c r="H104" s="24">
        <v>0</v>
      </c>
      <c r="I104" s="24">
        <v>0</v>
      </c>
      <c r="J104" s="116">
        <f>SUM('FY 09-11 DD 1416 Tracker-Total'!AU142)</f>
        <v>0</v>
      </c>
      <c r="K104" s="25">
        <f t="shared" si="18"/>
        <v>38588</v>
      </c>
    </row>
    <row r="105" spans="1:11" ht="12.75">
      <c r="A105" s="49"/>
      <c r="B105" s="3" t="s">
        <v>199</v>
      </c>
      <c r="C105" s="24">
        <v>37784</v>
      </c>
      <c r="D105" s="25">
        <v>37784</v>
      </c>
      <c r="E105" s="26">
        <v>-111</v>
      </c>
      <c r="F105" s="24">
        <v>0</v>
      </c>
      <c r="G105" s="24">
        <v>0</v>
      </c>
      <c r="H105" s="24">
        <v>0</v>
      </c>
      <c r="I105" s="24">
        <v>0</v>
      </c>
      <c r="J105" s="116">
        <f>SUM('FY 09-11 DD 1416 Tracker-Total'!AU143)</f>
        <v>0</v>
      </c>
      <c r="K105" s="25">
        <f t="shared" si="18"/>
        <v>37673</v>
      </c>
    </row>
    <row r="106" spans="1:11" ht="13.5" thickBot="1">
      <c r="A106" s="49"/>
      <c r="B106" s="3" t="s">
        <v>46</v>
      </c>
      <c r="C106" s="24">
        <v>199610</v>
      </c>
      <c r="D106" s="25">
        <v>186160</v>
      </c>
      <c r="E106" s="26">
        <v>-549</v>
      </c>
      <c r="F106" s="24">
        <v>0</v>
      </c>
      <c r="G106" s="24">
        <v>0</v>
      </c>
      <c r="H106" s="24">
        <v>0</v>
      </c>
      <c r="I106" s="24">
        <v>0</v>
      </c>
      <c r="J106" s="116">
        <f>SUM('FY 09-11 DD 1416 Tracker-Total'!AU144)</f>
        <v>5100</v>
      </c>
      <c r="K106" s="25">
        <f t="shared" si="18"/>
        <v>190711</v>
      </c>
    </row>
    <row r="107" spans="1:11" s="11" customFormat="1" ht="13.5" thickBot="1">
      <c r="A107" s="247"/>
      <c r="B107" s="37" t="s">
        <v>234</v>
      </c>
      <c r="C107" s="38">
        <f>SUM(C101:C106)</f>
        <v>467171</v>
      </c>
      <c r="D107" s="38">
        <f aca="true" t="shared" si="19" ref="D107:K107">SUM(D101:D106)</f>
        <v>457001</v>
      </c>
      <c r="E107" s="38">
        <f t="shared" si="19"/>
        <v>-1347</v>
      </c>
      <c r="F107" s="38">
        <f t="shared" si="19"/>
        <v>0</v>
      </c>
      <c r="G107" s="38">
        <f t="shared" si="19"/>
        <v>0</v>
      </c>
      <c r="H107" s="38">
        <f t="shared" si="19"/>
        <v>0</v>
      </c>
      <c r="I107" s="270">
        <f t="shared" si="19"/>
        <v>0</v>
      </c>
      <c r="J107" s="38">
        <f t="shared" si="19"/>
        <v>0</v>
      </c>
      <c r="K107" s="39">
        <f t="shared" si="19"/>
        <v>455654</v>
      </c>
    </row>
    <row r="108" spans="1:11" ht="12.75">
      <c r="A108" s="41"/>
      <c r="B108" s="42"/>
      <c r="C108" s="24"/>
      <c r="D108" s="29"/>
      <c r="E108" s="31"/>
      <c r="F108" s="33"/>
      <c r="G108" s="31"/>
      <c r="H108" s="33"/>
      <c r="I108" s="93"/>
      <c r="J108" s="123"/>
      <c r="K108" s="25"/>
    </row>
    <row r="109" spans="1:11" ht="12.75">
      <c r="A109" s="41" t="s">
        <v>235</v>
      </c>
      <c r="B109" s="3" t="s">
        <v>226</v>
      </c>
      <c r="C109" s="24">
        <v>0</v>
      </c>
      <c r="D109" s="25">
        <v>57100</v>
      </c>
      <c r="E109" s="26">
        <v>-168</v>
      </c>
      <c r="F109" s="24">
        <v>0</v>
      </c>
      <c r="G109" s="26">
        <v>0</v>
      </c>
      <c r="H109" s="24">
        <v>0</v>
      </c>
      <c r="I109" s="26">
        <v>45000</v>
      </c>
      <c r="J109" s="24">
        <v>0</v>
      </c>
      <c r="K109" s="25">
        <f>SUM(D109:J109)</f>
        <v>101932</v>
      </c>
    </row>
    <row r="110" spans="1:11" ht="13.5" thickBot="1">
      <c r="A110" s="41"/>
      <c r="B110" s="3" t="s">
        <v>227</v>
      </c>
      <c r="C110" s="24">
        <v>0</v>
      </c>
      <c r="D110" s="25">
        <v>105000</v>
      </c>
      <c r="E110" s="26">
        <v>-310</v>
      </c>
      <c r="F110" s="24">
        <v>0</v>
      </c>
      <c r="G110" s="26">
        <v>0</v>
      </c>
      <c r="H110" s="269">
        <v>0</v>
      </c>
      <c r="I110" s="26">
        <v>0</v>
      </c>
      <c r="J110" s="269">
        <v>0</v>
      </c>
      <c r="K110" s="25">
        <f>SUM(D110:J110)</f>
        <v>104690</v>
      </c>
    </row>
    <row r="111" spans="1:11" s="11" customFormat="1" ht="13.5" thickBot="1">
      <c r="A111" s="247"/>
      <c r="B111" s="37" t="s">
        <v>236</v>
      </c>
      <c r="C111" s="38">
        <f>SUM(C109:C110)</f>
        <v>0</v>
      </c>
      <c r="D111" s="38">
        <f aca="true" t="shared" si="20" ref="D111:K111">SUM(D109:D110)</f>
        <v>162100</v>
      </c>
      <c r="E111" s="38">
        <f t="shared" si="20"/>
        <v>-478</v>
      </c>
      <c r="F111" s="38">
        <f t="shared" si="20"/>
        <v>0</v>
      </c>
      <c r="G111" s="38">
        <f t="shared" si="20"/>
        <v>0</v>
      </c>
      <c r="H111" s="38">
        <f t="shared" si="20"/>
        <v>0</v>
      </c>
      <c r="I111" s="38">
        <f t="shared" si="20"/>
        <v>45000</v>
      </c>
      <c r="J111" s="38">
        <f t="shared" si="20"/>
        <v>0</v>
      </c>
      <c r="K111" s="38">
        <f t="shared" si="20"/>
        <v>206622</v>
      </c>
    </row>
    <row r="112" spans="1:11" ht="12.75">
      <c r="A112" s="41"/>
      <c r="B112" s="42"/>
      <c r="C112" s="24"/>
      <c r="D112" s="29"/>
      <c r="E112" s="31"/>
      <c r="F112" s="24"/>
      <c r="G112" s="31"/>
      <c r="H112" s="33"/>
      <c r="I112" s="93"/>
      <c r="J112" s="123"/>
      <c r="K112" s="25"/>
    </row>
    <row r="113" spans="1:11" ht="13.5" thickBot="1">
      <c r="A113" s="41"/>
      <c r="B113" s="42"/>
      <c r="C113" s="24"/>
      <c r="D113" s="29"/>
      <c r="E113" s="31"/>
      <c r="F113" s="24"/>
      <c r="G113" s="31"/>
      <c r="H113" s="24"/>
      <c r="I113" s="93"/>
      <c r="J113" s="123"/>
      <c r="K113" s="25"/>
    </row>
    <row r="114" spans="1:11" s="256" customFormat="1" ht="13.5" thickBot="1">
      <c r="A114" s="43" t="s">
        <v>47</v>
      </c>
      <c r="B114" s="44" t="s">
        <v>164</v>
      </c>
      <c r="C114" s="38">
        <v>671379</v>
      </c>
      <c r="D114" s="38">
        <v>648379</v>
      </c>
      <c r="E114" s="218">
        <v>-1912</v>
      </c>
      <c r="F114" s="38">
        <v>0</v>
      </c>
      <c r="G114" s="218">
        <f>1380+4863+19367+5194+38245+55160+166259</f>
        <v>290468</v>
      </c>
      <c r="H114" s="38">
        <v>0</v>
      </c>
      <c r="I114" s="218">
        <f>-2000+300+25000+6400-29911+600+5400</f>
        <v>5789</v>
      </c>
      <c r="J114" s="38">
        <v>0</v>
      </c>
      <c r="K114" s="38">
        <f>SUM(D114:J114)</f>
        <v>942724</v>
      </c>
    </row>
    <row r="115" spans="1:11" s="256" customFormat="1" ht="12.75">
      <c r="A115" s="224"/>
      <c r="B115" s="225"/>
      <c r="C115" s="124"/>
      <c r="D115" s="96"/>
      <c r="E115" s="79"/>
      <c r="F115" s="124"/>
      <c r="G115" s="79"/>
      <c r="H115" s="124"/>
      <c r="I115" s="79"/>
      <c r="J115" s="124"/>
      <c r="K115" s="96"/>
    </row>
    <row r="116" spans="1:11" s="256" customFormat="1" ht="13.5" thickBot="1">
      <c r="A116" s="224"/>
      <c r="B116" s="225"/>
      <c r="C116" s="124"/>
      <c r="D116" s="96"/>
      <c r="E116" s="79"/>
      <c r="F116" s="124"/>
      <c r="G116" s="79"/>
      <c r="H116" s="124"/>
      <c r="I116" s="79"/>
      <c r="J116" s="124"/>
      <c r="K116" s="96"/>
    </row>
    <row r="117" spans="1:11" s="256" customFormat="1" ht="13.5" thickBot="1">
      <c r="A117" s="43" t="s">
        <v>268</v>
      </c>
      <c r="B117" s="44" t="s">
        <v>269</v>
      </c>
      <c r="C117" s="38">
        <v>0</v>
      </c>
      <c r="D117" s="39">
        <v>0</v>
      </c>
      <c r="E117" s="218">
        <v>0</v>
      </c>
      <c r="F117" s="38">
        <v>0</v>
      </c>
      <c r="G117" s="218">
        <v>0</v>
      </c>
      <c r="H117" s="38">
        <v>0</v>
      </c>
      <c r="I117" s="218">
        <v>0</v>
      </c>
      <c r="J117" s="38">
        <v>0</v>
      </c>
      <c r="K117" s="39">
        <v>0</v>
      </c>
    </row>
    <row r="118" spans="1:11" s="256" customFormat="1" ht="12.75">
      <c r="A118" s="224"/>
      <c r="B118" s="225"/>
      <c r="C118" s="124"/>
      <c r="D118" s="96"/>
      <c r="E118" s="79"/>
      <c r="F118" s="124"/>
      <c r="G118" s="79"/>
      <c r="H118" s="124"/>
      <c r="I118" s="79"/>
      <c r="J118" s="124"/>
      <c r="K118" s="96"/>
    </row>
    <row r="119" spans="1:11" s="22" customFormat="1" ht="13.5" thickBot="1">
      <c r="A119" s="224"/>
      <c r="B119" s="225"/>
      <c r="C119" s="116"/>
      <c r="D119" s="59"/>
      <c r="E119" s="94"/>
      <c r="F119" s="116"/>
      <c r="G119" s="94"/>
      <c r="H119" s="116"/>
      <c r="I119" s="94"/>
      <c r="J119" s="116"/>
      <c r="K119" s="96"/>
    </row>
    <row r="120" spans="1:11" s="10" customFormat="1" ht="13.5" thickBot="1">
      <c r="A120" s="43" t="s">
        <v>175</v>
      </c>
      <c r="B120" s="39" t="s">
        <v>59</v>
      </c>
      <c r="C120" s="38">
        <f>SUM(C61+C99+C107+C114+C117)</f>
        <v>3164228</v>
      </c>
      <c r="D120" s="38">
        <f aca="true" t="shared" si="21" ref="D120:I120">SUM(D61+D99+D107+D111+D114)</f>
        <v>3306269</v>
      </c>
      <c r="E120" s="38">
        <f t="shared" si="21"/>
        <v>-9749</v>
      </c>
      <c r="F120" s="38">
        <f t="shared" si="21"/>
        <v>0</v>
      </c>
      <c r="G120" s="38">
        <f t="shared" si="21"/>
        <v>403505</v>
      </c>
      <c r="H120" s="38">
        <f t="shared" si="21"/>
        <v>0</v>
      </c>
      <c r="I120" s="38">
        <f t="shared" si="21"/>
        <v>343601</v>
      </c>
      <c r="J120" s="38">
        <f>SUM(J61+J99+J107+J111+J114)</f>
        <v>0</v>
      </c>
      <c r="K120" s="38">
        <f>SUM(K61+K99+K107+K111+K114+K117)-29</f>
        <v>4043599</v>
      </c>
    </row>
    <row r="121" ht="12.75">
      <c r="A121" s="50"/>
    </row>
    <row r="122" ht="12.75">
      <c r="A122" s="50"/>
    </row>
    <row r="123" ht="12.75">
      <c r="A123" s="50"/>
    </row>
    <row r="124" ht="13.5" thickBot="1">
      <c r="A124" s="50"/>
    </row>
    <row r="125" spans="1:11" s="11" customFormat="1" ht="13.5" thickBot="1">
      <c r="A125" s="267" t="s">
        <v>68</v>
      </c>
      <c r="B125" s="268"/>
      <c r="C125" s="218">
        <v>3164228</v>
      </c>
      <c r="D125" s="218">
        <v>3306269</v>
      </c>
      <c r="E125" s="218">
        <v>-9749</v>
      </c>
      <c r="F125" s="218">
        <v>0</v>
      </c>
      <c r="G125" s="218">
        <v>403505</v>
      </c>
      <c r="H125" s="218">
        <v>0</v>
      </c>
      <c r="I125" s="218">
        <v>343601</v>
      </c>
      <c r="J125" s="218"/>
      <c r="K125" s="39">
        <v>4043599</v>
      </c>
    </row>
    <row r="127" spans="1:11" ht="12.75">
      <c r="A127" s="263"/>
      <c r="B127" s="264"/>
      <c r="C127" s="265"/>
      <c r="D127" s="265"/>
      <c r="E127" s="265"/>
      <c r="F127" s="265"/>
      <c r="G127" s="265"/>
      <c r="H127" s="265"/>
      <c r="I127" s="265"/>
      <c r="J127" s="265"/>
      <c r="K127" s="266"/>
    </row>
    <row r="128" ht="12.75">
      <c r="C128" s="16"/>
    </row>
    <row r="129" ht="12.75">
      <c r="K129" s="16">
        <f>SUM(K120-K125)</f>
        <v>0</v>
      </c>
    </row>
  </sheetData>
  <sheetProtection/>
  <printOptions horizontalCentered="1" verticalCentered="1"/>
  <pageMargins left="0.7" right="0.7" top="0.75" bottom="0.75" header="0.3" footer="0.3"/>
  <pageSetup fitToHeight="2" fitToWidth="1" horizontalDpi="600" verticalDpi="600" orientation="landscape" scale="52" r:id="rId1"/>
  <headerFooter>
    <oddHeader>&amp;CFY 2009/2011
PROCUREMENT, DEFENSE-WIDE
As of 31 December 2009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29"/>
  <sheetViews>
    <sheetView zoomScalePageLayoutView="0" workbookViewId="0" topLeftCell="A98">
      <pane xSplit="1" topLeftCell="B1" activePane="topRight" state="frozen"/>
      <selection pane="topLeft" activeCell="A1" sqref="A1"/>
      <selection pane="topRight" activeCell="A117" sqref="A117"/>
    </sheetView>
  </sheetViews>
  <sheetFormatPr defaultColWidth="9.140625" defaultRowHeight="12.75"/>
  <cols>
    <col min="1" max="1" width="51.140625" style="12" customWidth="1"/>
    <col min="2" max="2" width="56.7109375" style="27" customWidth="1"/>
    <col min="3" max="3" width="12.421875" style="27" customWidth="1"/>
    <col min="4" max="4" width="14.57421875" style="27" customWidth="1"/>
    <col min="5" max="5" width="15.8515625" style="27" customWidth="1"/>
    <col min="6" max="6" width="14.7109375" style="27" customWidth="1"/>
    <col min="7" max="7" width="12.7109375" style="27" customWidth="1"/>
    <col min="8" max="8" width="14.7109375" style="27" customWidth="1"/>
    <col min="9" max="9" width="14.140625" style="21" customWidth="1"/>
    <col min="10" max="10" width="14.28125" style="21" customWidth="1"/>
    <col min="11" max="11" width="11.57421875" style="16" customWidth="1"/>
    <col min="12" max="12" width="9.7109375" style="27" bestFit="1" customWidth="1"/>
    <col min="13" max="16384" width="9.140625" style="27" customWidth="1"/>
  </cols>
  <sheetData>
    <row r="2" spans="4:10" ht="12.75">
      <c r="D2" s="227"/>
      <c r="H2" s="227"/>
      <c r="J2" s="249"/>
    </row>
    <row r="3" spans="2:10" ht="12.75">
      <c r="B3" s="21"/>
      <c r="D3" s="227"/>
      <c r="E3" s="69"/>
      <c r="H3" s="227"/>
      <c r="J3" s="249"/>
    </row>
    <row r="4" spans="4:10" ht="13.5" thickBot="1">
      <c r="D4" s="227"/>
      <c r="E4" s="112"/>
      <c r="G4" s="227"/>
      <c r="H4" s="227"/>
      <c r="I4" s="249"/>
      <c r="J4" s="249"/>
    </row>
    <row r="5" spans="1:11" ht="51" customHeight="1" thickBot="1">
      <c r="A5" s="48" t="s">
        <v>165</v>
      </c>
      <c r="B5" s="47" t="s">
        <v>166</v>
      </c>
      <c r="C5" s="53" t="s">
        <v>50</v>
      </c>
      <c r="D5" s="55" t="s">
        <v>51</v>
      </c>
      <c r="E5" s="53" t="s">
        <v>52</v>
      </c>
      <c r="F5" s="54" t="s">
        <v>53</v>
      </c>
      <c r="G5" s="54" t="s">
        <v>54</v>
      </c>
      <c r="H5" s="54" t="s">
        <v>55</v>
      </c>
      <c r="I5" s="54" t="s">
        <v>56</v>
      </c>
      <c r="J5" s="54" t="s">
        <v>57</v>
      </c>
      <c r="K5" s="219" t="s">
        <v>58</v>
      </c>
    </row>
    <row r="6" spans="1:11" ht="12.75">
      <c r="A6" s="244"/>
      <c r="B6" s="29"/>
      <c r="C6" s="30"/>
      <c r="D6" s="29"/>
      <c r="E6" s="31"/>
      <c r="F6" s="30"/>
      <c r="G6" s="31"/>
      <c r="H6" s="30"/>
      <c r="I6" s="93"/>
      <c r="J6" s="122"/>
      <c r="K6" s="25"/>
    </row>
    <row r="7" spans="1:11" ht="12.75">
      <c r="A7" s="50"/>
      <c r="B7" s="32"/>
      <c r="C7" s="33"/>
      <c r="D7" s="29"/>
      <c r="E7" s="31"/>
      <c r="F7" s="33"/>
      <c r="G7" s="31"/>
      <c r="H7" s="33"/>
      <c r="I7" s="93"/>
      <c r="J7" s="123"/>
      <c r="K7" s="25"/>
    </row>
    <row r="8" spans="1:11" ht="12.75">
      <c r="A8" s="50" t="s">
        <v>63</v>
      </c>
      <c r="B8" s="7" t="s">
        <v>12</v>
      </c>
      <c r="C8" s="24">
        <v>105946</v>
      </c>
      <c r="D8" s="25">
        <v>105946</v>
      </c>
      <c r="E8" s="26">
        <v>-312</v>
      </c>
      <c r="F8" s="24">
        <v>0</v>
      </c>
      <c r="G8" s="26">
        <v>0</v>
      </c>
      <c r="H8" s="24">
        <v>0</v>
      </c>
      <c r="I8" s="94">
        <f>-2273-27</f>
        <v>-2300</v>
      </c>
      <c r="J8" s="116">
        <v>0</v>
      </c>
      <c r="K8" s="25">
        <f>SUM(D8:J8)</f>
        <v>103334</v>
      </c>
    </row>
    <row r="9" spans="1:11" s="11" customFormat="1" ht="12.75">
      <c r="A9" s="257"/>
      <c r="B9" s="258" t="s">
        <v>113</v>
      </c>
      <c r="C9" s="260">
        <f aca="true" t="shared" si="0" ref="C9:I9">SUM(C8)</f>
        <v>105946</v>
      </c>
      <c r="D9" s="260">
        <f t="shared" si="0"/>
        <v>105946</v>
      </c>
      <c r="E9" s="260">
        <f t="shared" si="0"/>
        <v>-312</v>
      </c>
      <c r="F9" s="260">
        <f t="shared" si="0"/>
        <v>0</v>
      </c>
      <c r="G9" s="260">
        <f t="shared" si="0"/>
        <v>0</v>
      </c>
      <c r="H9" s="260">
        <f t="shared" si="0"/>
        <v>0</v>
      </c>
      <c r="I9" s="260">
        <f t="shared" si="0"/>
        <v>-2300</v>
      </c>
      <c r="J9" s="260">
        <f>SUM(J8:J8)</f>
        <v>0</v>
      </c>
      <c r="K9" s="260">
        <f>SUM(K8:K8)</f>
        <v>103334</v>
      </c>
    </row>
    <row r="10" spans="1:11" ht="12.75">
      <c r="A10" s="50"/>
      <c r="B10" s="23"/>
      <c r="C10" s="24"/>
      <c r="D10" s="25"/>
      <c r="E10" s="26"/>
      <c r="F10" s="24"/>
      <c r="G10" s="26"/>
      <c r="H10" s="24"/>
      <c r="I10" s="94"/>
      <c r="J10" s="116"/>
      <c r="K10" s="25"/>
    </row>
    <row r="11" spans="1:11" ht="12.75">
      <c r="A11" s="50" t="s">
        <v>65</v>
      </c>
      <c r="B11" t="s">
        <v>116</v>
      </c>
      <c r="C11" s="24">
        <f>SUM('FY 09-11 DD 1416 Tracker-Total'!P18)</f>
        <v>0</v>
      </c>
      <c r="D11" s="25">
        <f>SUM('FY 09-11 DD 1416 Tracker-Total'!J18)</f>
        <v>0</v>
      </c>
      <c r="E11" s="26">
        <f>SUM('FY 09-11 DD 1416 Tracker-Total'!M18)</f>
        <v>0</v>
      </c>
      <c r="F11" s="24">
        <v>0</v>
      </c>
      <c r="G11" s="26">
        <v>0</v>
      </c>
      <c r="H11" s="24">
        <v>0</v>
      </c>
      <c r="I11" s="94">
        <v>0</v>
      </c>
      <c r="J11" s="116">
        <v>0</v>
      </c>
      <c r="K11" s="59">
        <f>SUM(D11:J11)</f>
        <v>0</v>
      </c>
    </row>
    <row r="12" spans="1:11" ht="12.75">
      <c r="A12" s="50"/>
      <c r="B12" t="s">
        <v>12</v>
      </c>
      <c r="C12" s="24">
        <v>26649</v>
      </c>
      <c r="D12" s="25">
        <v>26649</v>
      </c>
      <c r="E12" s="26">
        <v>-79</v>
      </c>
      <c r="F12" s="24">
        <v>0</v>
      </c>
      <c r="G12" s="26">
        <v>0</v>
      </c>
      <c r="H12" s="24">
        <v>0</v>
      </c>
      <c r="I12" s="94">
        <v>0</v>
      </c>
      <c r="J12" s="116">
        <v>0</v>
      </c>
      <c r="K12" s="59">
        <f>SUM(D12:J12)</f>
        <v>26570</v>
      </c>
    </row>
    <row r="13" spans="1:11" s="11" customFormat="1" ht="12.75">
      <c r="A13" s="257"/>
      <c r="B13" s="259" t="s">
        <v>49</v>
      </c>
      <c r="C13" s="260">
        <f>SUM(C11:C12)</f>
        <v>26649</v>
      </c>
      <c r="D13" s="260">
        <f aca="true" t="shared" si="1" ref="D13:K13">SUM(D11:D12)</f>
        <v>26649</v>
      </c>
      <c r="E13" s="260">
        <f t="shared" si="1"/>
        <v>-79</v>
      </c>
      <c r="F13" s="260">
        <f t="shared" si="1"/>
        <v>0</v>
      </c>
      <c r="G13" s="260">
        <f t="shared" si="1"/>
        <v>0</v>
      </c>
      <c r="H13" s="260">
        <f t="shared" si="1"/>
        <v>0</v>
      </c>
      <c r="I13" s="260">
        <f t="shared" si="1"/>
        <v>0</v>
      </c>
      <c r="J13" s="260">
        <f t="shared" si="1"/>
        <v>0</v>
      </c>
      <c r="K13" s="260">
        <f t="shared" si="1"/>
        <v>26570</v>
      </c>
    </row>
    <row r="14" spans="1:11" ht="12.75">
      <c r="A14" s="50"/>
      <c r="B14" s="23"/>
      <c r="C14" s="24"/>
      <c r="D14" s="25"/>
      <c r="E14" s="26"/>
      <c r="F14" s="24"/>
      <c r="G14" s="26"/>
      <c r="H14" s="24"/>
      <c r="I14" s="94"/>
      <c r="J14" s="116"/>
      <c r="K14" s="25"/>
    </row>
    <row r="15" spans="1:11" ht="12.75">
      <c r="A15" s="50" t="s">
        <v>167</v>
      </c>
      <c r="B15" s="3" t="s">
        <v>6</v>
      </c>
      <c r="C15" s="24">
        <v>54934</v>
      </c>
      <c r="D15" s="25">
        <v>48734</v>
      </c>
      <c r="E15" s="26">
        <v>-144</v>
      </c>
      <c r="F15" s="24">
        <v>0</v>
      </c>
      <c r="G15" s="24">
        <v>0</v>
      </c>
      <c r="H15" s="24">
        <v>0</v>
      </c>
      <c r="I15" s="24">
        <v>0</v>
      </c>
      <c r="J15" s="24">
        <f>-1304+595-3000+396+1980</f>
        <v>-1333</v>
      </c>
      <c r="K15" s="59">
        <f>SUM(D15:J15)</f>
        <v>47257</v>
      </c>
    </row>
    <row r="16" spans="1:11" ht="12.75">
      <c r="A16" s="50"/>
      <c r="B16" s="3" t="s">
        <v>248</v>
      </c>
      <c r="C16" s="24">
        <v>10973</v>
      </c>
      <c r="D16" s="25">
        <v>10973</v>
      </c>
      <c r="E16" s="26">
        <v>-32</v>
      </c>
      <c r="F16" s="24">
        <v>0</v>
      </c>
      <c r="G16" s="24">
        <v>0</v>
      </c>
      <c r="H16" s="24">
        <v>0</v>
      </c>
      <c r="I16" s="24"/>
      <c r="J16" s="24">
        <f>-1900-251</f>
        <v>-2151</v>
      </c>
      <c r="K16" s="59">
        <f aca="true" t="shared" si="2" ref="K16:K25">SUM(D16:J16)</f>
        <v>8790</v>
      </c>
    </row>
    <row r="17" spans="1:11" ht="12.75">
      <c r="A17" s="50"/>
      <c r="B17" s="3" t="s">
        <v>7</v>
      </c>
      <c r="C17" s="24">
        <v>2788</v>
      </c>
      <c r="D17" s="25">
        <v>2788</v>
      </c>
      <c r="E17" s="26">
        <v>-8</v>
      </c>
      <c r="F17" s="24">
        <v>0</v>
      </c>
      <c r="G17" s="24">
        <v>0</v>
      </c>
      <c r="H17" s="24">
        <v>0</v>
      </c>
      <c r="I17" s="24">
        <v>200</v>
      </c>
      <c r="J17" s="24">
        <v>-111</v>
      </c>
      <c r="K17" s="59">
        <f t="shared" si="2"/>
        <v>2869</v>
      </c>
    </row>
    <row r="18" spans="1:11" ht="12.75">
      <c r="A18" s="50"/>
      <c r="B18" s="3" t="s">
        <v>8</v>
      </c>
      <c r="C18" s="24">
        <v>15062</v>
      </c>
      <c r="D18" s="25">
        <v>15062</v>
      </c>
      <c r="E18" s="26">
        <v>-44</v>
      </c>
      <c r="F18" s="24">
        <v>0</v>
      </c>
      <c r="G18" s="24">
        <v>0</v>
      </c>
      <c r="H18" s="24">
        <v>0</v>
      </c>
      <c r="I18" s="24">
        <v>0</v>
      </c>
      <c r="J18" s="24">
        <f>400+529-363</f>
        <v>566</v>
      </c>
      <c r="K18" s="59">
        <f t="shared" si="2"/>
        <v>15584</v>
      </c>
    </row>
    <row r="19" spans="1:11" ht="12.75">
      <c r="A19" s="50"/>
      <c r="B19" s="3" t="s">
        <v>9</v>
      </c>
      <c r="C19" s="24">
        <v>121296</v>
      </c>
      <c r="D19" s="25">
        <v>111296</v>
      </c>
      <c r="E19" s="26">
        <v>-328</v>
      </c>
      <c r="F19" s="24">
        <v>0</v>
      </c>
      <c r="G19" s="24">
        <v>0</v>
      </c>
      <c r="H19" s="24">
        <v>0</v>
      </c>
      <c r="I19" s="24">
        <v>0</v>
      </c>
      <c r="J19" s="24">
        <f>3243+1200+9560-925-1271</f>
        <v>11807</v>
      </c>
      <c r="K19" s="59">
        <f t="shared" si="2"/>
        <v>122775</v>
      </c>
    </row>
    <row r="20" spans="1:11" ht="12.75">
      <c r="A20" s="50"/>
      <c r="B20" s="3" t="s">
        <v>10</v>
      </c>
      <c r="C20" s="24">
        <v>36765</v>
      </c>
      <c r="D20" s="25">
        <v>36765</v>
      </c>
      <c r="E20" s="26">
        <v>-108</v>
      </c>
      <c r="F20" s="24">
        <v>0</v>
      </c>
      <c r="G20" s="24">
        <v>0</v>
      </c>
      <c r="H20" s="24">
        <v>0</v>
      </c>
      <c r="I20" s="24">
        <v>0</v>
      </c>
      <c r="J20" s="24">
        <f>-5958-1373</f>
        <v>-7331</v>
      </c>
      <c r="K20" s="59">
        <f t="shared" si="2"/>
        <v>29326</v>
      </c>
    </row>
    <row r="21" spans="1:11" ht="12.75">
      <c r="A21" s="50"/>
      <c r="B21" s="3" t="s">
        <v>197</v>
      </c>
      <c r="C21" s="24">
        <v>90328</v>
      </c>
      <c r="D21" s="25">
        <v>90328</v>
      </c>
      <c r="E21" s="26">
        <v>-266</v>
      </c>
      <c r="F21" s="24">
        <v>0</v>
      </c>
      <c r="G21" s="24">
        <v>0</v>
      </c>
      <c r="H21" s="24">
        <v>0</v>
      </c>
      <c r="I21" s="24">
        <v>0</v>
      </c>
      <c r="J21" s="24">
        <f>4319-595-6499+1729</f>
        <v>-1046</v>
      </c>
      <c r="K21" s="59">
        <f t="shared" si="2"/>
        <v>89016</v>
      </c>
    </row>
    <row r="22" spans="1:11" ht="12.75">
      <c r="A22" s="50"/>
      <c r="B22" s="3" t="s">
        <v>203</v>
      </c>
      <c r="C22" s="24">
        <v>1895</v>
      </c>
      <c r="D22" s="25">
        <v>1894</v>
      </c>
      <c r="E22" s="26">
        <v>-6</v>
      </c>
      <c r="F22" s="24">
        <v>0</v>
      </c>
      <c r="G22" s="24">
        <v>0</v>
      </c>
      <c r="H22" s="24">
        <v>0</v>
      </c>
      <c r="I22" s="24">
        <v>0</v>
      </c>
      <c r="J22" s="24">
        <f>0-60</f>
        <v>-60</v>
      </c>
      <c r="K22" s="59">
        <f t="shared" si="2"/>
        <v>1828</v>
      </c>
    </row>
    <row r="23" spans="1:11" ht="12.75">
      <c r="A23" s="50"/>
      <c r="B23" s="117" t="s">
        <v>184</v>
      </c>
      <c r="C23" s="24">
        <v>0</v>
      </c>
      <c r="D23" s="25">
        <v>0</v>
      </c>
      <c r="E23" s="26">
        <v>0</v>
      </c>
      <c r="F23" s="24">
        <v>0</v>
      </c>
      <c r="G23" s="24">
        <v>0</v>
      </c>
      <c r="H23" s="24">
        <v>0</v>
      </c>
      <c r="I23" s="24">
        <v>1316</v>
      </c>
      <c r="J23" s="24">
        <v>0</v>
      </c>
      <c r="K23" s="59">
        <f t="shared" si="2"/>
        <v>1316</v>
      </c>
    </row>
    <row r="24" spans="1:11" ht="12.75">
      <c r="A24" s="50"/>
      <c r="B24" s="117" t="s">
        <v>212</v>
      </c>
      <c r="C24" s="24">
        <v>7952</v>
      </c>
      <c r="D24" s="25">
        <v>4000</v>
      </c>
      <c r="E24" s="26">
        <v>-12</v>
      </c>
      <c r="F24" s="24">
        <v>0</v>
      </c>
      <c r="G24" s="24">
        <v>0</v>
      </c>
      <c r="H24" s="24">
        <v>0</v>
      </c>
      <c r="I24" s="24">
        <v>0</v>
      </c>
      <c r="J24" s="24">
        <f>0-61-280</f>
        <v>-341</v>
      </c>
      <c r="K24" s="59">
        <f t="shared" si="2"/>
        <v>3647</v>
      </c>
    </row>
    <row r="25" spans="1:11" ht="12.75">
      <c r="A25" s="50"/>
      <c r="B25" s="117" t="s">
        <v>213</v>
      </c>
      <c r="C25" s="24">
        <v>19100</v>
      </c>
      <c r="D25" s="25">
        <v>19100</v>
      </c>
      <c r="E25" s="26">
        <v>-56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59">
        <f t="shared" si="2"/>
        <v>19044</v>
      </c>
    </row>
    <row r="26" spans="1:11" s="11" customFormat="1" ht="12.75">
      <c r="A26" s="257"/>
      <c r="B26" s="259" t="s">
        <v>67</v>
      </c>
      <c r="C26" s="260">
        <f>SUM(C15:C25)-1</f>
        <v>361092</v>
      </c>
      <c r="D26" s="260">
        <f aca="true" t="shared" si="3" ref="D26:K26">SUM(D15:D25)</f>
        <v>340940</v>
      </c>
      <c r="E26" s="261">
        <f t="shared" si="3"/>
        <v>-1004</v>
      </c>
      <c r="F26" s="260">
        <f t="shared" si="3"/>
        <v>0</v>
      </c>
      <c r="G26" s="262">
        <f t="shared" si="3"/>
        <v>0</v>
      </c>
      <c r="H26" s="260">
        <f t="shared" si="3"/>
        <v>0</v>
      </c>
      <c r="I26" s="260">
        <f t="shared" si="3"/>
        <v>1516</v>
      </c>
      <c r="J26" s="260">
        <f t="shared" si="3"/>
        <v>0</v>
      </c>
      <c r="K26" s="260">
        <f t="shared" si="3"/>
        <v>341452</v>
      </c>
    </row>
    <row r="27" spans="1:11" ht="12.75">
      <c r="A27" s="50"/>
      <c r="B27" s="23"/>
      <c r="C27" s="24"/>
      <c r="D27" s="25"/>
      <c r="E27" s="26"/>
      <c r="F27" s="24"/>
      <c r="G27" s="26"/>
      <c r="H27" s="24"/>
      <c r="I27" s="94"/>
      <c r="J27" s="116"/>
      <c r="K27" s="25"/>
    </row>
    <row r="28" spans="1:11" ht="12.75">
      <c r="A28" s="50" t="s">
        <v>61</v>
      </c>
      <c r="B28" t="s">
        <v>12</v>
      </c>
      <c r="C28" s="24">
        <v>8789</v>
      </c>
      <c r="D28" s="25">
        <v>8789</v>
      </c>
      <c r="E28" s="26">
        <v>-26</v>
      </c>
      <c r="F28" s="24">
        <v>0</v>
      </c>
      <c r="G28" s="26">
        <v>0</v>
      </c>
      <c r="H28" s="24">
        <v>0</v>
      </c>
      <c r="I28" s="94">
        <v>0</v>
      </c>
      <c r="J28" s="116">
        <v>0</v>
      </c>
      <c r="K28" s="59">
        <f>SUM(D28:J28)</f>
        <v>8763</v>
      </c>
    </row>
    <row r="29" spans="1:11" ht="12.75">
      <c r="A29" s="257"/>
      <c r="B29" s="259" t="s">
        <v>117</v>
      </c>
      <c r="C29" s="260">
        <f>SUM(C28)</f>
        <v>8789</v>
      </c>
      <c r="D29" s="260">
        <f aca="true" t="shared" si="4" ref="D29:K29">SUM(D28)</f>
        <v>8789</v>
      </c>
      <c r="E29" s="260">
        <f t="shared" si="4"/>
        <v>-26</v>
      </c>
      <c r="F29" s="260">
        <f t="shared" si="4"/>
        <v>0</v>
      </c>
      <c r="G29" s="260">
        <f t="shared" si="4"/>
        <v>0</v>
      </c>
      <c r="H29" s="260">
        <f t="shared" si="4"/>
        <v>0</v>
      </c>
      <c r="I29" s="260">
        <f t="shared" si="4"/>
        <v>0</v>
      </c>
      <c r="J29" s="260">
        <f t="shared" si="4"/>
        <v>0</v>
      </c>
      <c r="K29" s="260">
        <f t="shared" si="4"/>
        <v>8763</v>
      </c>
    </row>
    <row r="30" spans="1:11" ht="12.75">
      <c r="A30" s="50"/>
      <c r="B30" s="34"/>
      <c r="C30" s="24"/>
      <c r="D30" s="25"/>
      <c r="E30" s="26"/>
      <c r="F30" s="24"/>
      <c r="G30" s="26"/>
      <c r="H30" s="24"/>
      <c r="I30" s="94"/>
      <c r="J30" s="116"/>
      <c r="K30" s="25"/>
    </row>
    <row r="31" spans="1:11" ht="12.75">
      <c r="A31" s="50" t="s">
        <v>60</v>
      </c>
      <c r="B31" t="s">
        <v>118</v>
      </c>
      <c r="C31" s="24">
        <v>1523</v>
      </c>
      <c r="D31" s="25">
        <v>3923</v>
      </c>
      <c r="E31" s="26">
        <v>-12</v>
      </c>
      <c r="F31" s="24">
        <v>0</v>
      </c>
      <c r="G31" s="26">
        <v>0</v>
      </c>
      <c r="H31" s="24">
        <v>0</v>
      </c>
      <c r="I31" s="94">
        <v>-2400</v>
      </c>
      <c r="J31" s="116">
        <v>0</v>
      </c>
      <c r="K31" s="59">
        <f>SUM(D31:J31)</f>
        <v>1511</v>
      </c>
    </row>
    <row r="32" spans="1:11" s="11" customFormat="1" ht="12.75">
      <c r="A32" s="257"/>
      <c r="B32" s="259" t="s">
        <v>119</v>
      </c>
      <c r="C32" s="260">
        <f>SUM(C31)</f>
        <v>1523</v>
      </c>
      <c r="D32" s="260">
        <f aca="true" t="shared" si="5" ref="D32:K32">SUM(D31)</f>
        <v>3923</v>
      </c>
      <c r="E32" s="260">
        <f t="shared" si="5"/>
        <v>-12</v>
      </c>
      <c r="F32" s="260">
        <f t="shared" si="5"/>
        <v>0</v>
      </c>
      <c r="G32" s="260">
        <f t="shared" si="5"/>
        <v>0</v>
      </c>
      <c r="H32" s="260">
        <f t="shared" si="5"/>
        <v>0</v>
      </c>
      <c r="I32" s="260">
        <f t="shared" si="5"/>
        <v>-2400</v>
      </c>
      <c r="J32" s="260">
        <f t="shared" si="5"/>
        <v>0</v>
      </c>
      <c r="K32" s="260">
        <f t="shared" si="5"/>
        <v>1511</v>
      </c>
    </row>
    <row r="33" spans="1:11" ht="12.75">
      <c r="A33" s="50"/>
      <c r="B33" s="34"/>
      <c r="C33" s="24"/>
      <c r="D33" s="25"/>
      <c r="E33" s="26"/>
      <c r="F33" s="24"/>
      <c r="G33" s="26"/>
      <c r="H33" s="24"/>
      <c r="I33" s="94"/>
      <c r="J33" s="116"/>
      <c r="K33" s="25"/>
    </row>
    <row r="34" spans="1:11" ht="12.75">
      <c r="A34" s="50" t="s">
        <v>64</v>
      </c>
      <c r="B34" t="s">
        <v>12</v>
      </c>
      <c r="C34" s="24">
        <v>25897</v>
      </c>
      <c r="D34" s="25">
        <v>25897</v>
      </c>
      <c r="E34" s="26">
        <v>-86</v>
      </c>
      <c r="F34" s="24">
        <v>0</v>
      </c>
      <c r="G34" s="26">
        <v>0</v>
      </c>
      <c r="H34" s="24">
        <v>0</v>
      </c>
      <c r="I34" s="94">
        <f>-276-1</f>
        <v>-277</v>
      </c>
      <c r="J34" s="116">
        <v>0</v>
      </c>
      <c r="K34" s="59">
        <f>SUM(D34:J34)+2-1</f>
        <v>25535</v>
      </c>
    </row>
    <row r="35" spans="1:11" s="11" customFormat="1" ht="12.75">
      <c r="A35" s="257"/>
      <c r="B35" s="259" t="s">
        <v>121</v>
      </c>
      <c r="C35" s="260">
        <f>SUM(C34)</f>
        <v>25897</v>
      </c>
      <c r="D35" s="260">
        <f aca="true" t="shared" si="6" ref="D35:K35">SUM(D34)</f>
        <v>25897</v>
      </c>
      <c r="E35" s="260">
        <f t="shared" si="6"/>
        <v>-86</v>
      </c>
      <c r="F35" s="260">
        <f t="shared" si="6"/>
        <v>0</v>
      </c>
      <c r="G35" s="260">
        <f t="shared" si="6"/>
        <v>0</v>
      </c>
      <c r="H35" s="260">
        <f t="shared" si="6"/>
        <v>0</v>
      </c>
      <c r="I35" s="260">
        <f t="shared" si="6"/>
        <v>-277</v>
      </c>
      <c r="J35" s="260">
        <f t="shared" si="6"/>
        <v>0</v>
      </c>
      <c r="K35" s="260">
        <f t="shared" si="6"/>
        <v>25535</v>
      </c>
    </row>
    <row r="36" spans="1:11" ht="12.75">
      <c r="A36" s="50"/>
      <c r="B36" s="34"/>
      <c r="C36" s="24"/>
      <c r="D36" s="25"/>
      <c r="E36" s="26"/>
      <c r="F36" s="24"/>
      <c r="G36" s="26"/>
      <c r="H36" s="24"/>
      <c r="I36" s="94"/>
      <c r="J36" s="116"/>
      <c r="K36" s="25"/>
    </row>
    <row r="37" spans="1:11" ht="12.75">
      <c r="A37" s="50" t="s">
        <v>168</v>
      </c>
      <c r="B37" t="s">
        <v>15</v>
      </c>
      <c r="C37" s="24">
        <v>19214</v>
      </c>
      <c r="D37" s="25">
        <v>10014</v>
      </c>
      <c r="E37" s="26">
        <v>-30</v>
      </c>
      <c r="F37" s="24">
        <v>0</v>
      </c>
      <c r="G37" s="26">
        <v>0</v>
      </c>
      <c r="H37" s="24">
        <v>0</v>
      </c>
      <c r="I37" s="94">
        <v>0</v>
      </c>
      <c r="J37" s="116">
        <v>0</v>
      </c>
      <c r="K37" s="59">
        <f>SUM(D37:J37)</f>
        <v>9984</v>
      </c>
    </row>
    <row r="38" spans="1:11" s="11" customFormat="1" ht="12.75">
      <c r="A38" s="257"/>
      <c r="B38" s="259" t="s">
        <v>122</v>
      </c>
      <c r="C38" s="260">
        <f>SUM(C37)</f>
        <v>19214</v>
      </c>
      <c r="D38" s="260">
        <f aca="true" t="shared" si="7" ref="D38:K38">SUM(D37)</f>
        <v>10014</v>
      </c>
      <c r="E38" s="260">
        <f t="shared" si="7"/>
        <v>-30</v>
      </c>
      <c r="F38" s="260">
        <f t="shared" si="7"/>
        <v>0</v>
      </c>
      <c r="G38" s="260">
        <f t="shared" si="7"/>
        <v>0</v>
      </c>
      <c r="H38" s="260">
        <f t="shared" si="7"/>
        <v>0</v>
      </c>
      <c r="I38" s="260">
        <f t="shared" si="7"/>
        <v>0</v>
      </c>
      <c r="J38" s="260">
        <f t="shared" si="7"/>
        <v>0</v>
      </c>
      <c r="K38" s="260">
        <f t="shared" si="7"/>
        <v>9984</v>
      </c>
    </row>
    <row r="39" spans="1:11" ht="12.75">
      <c r="A39" s="50"/>
      <c r="B39" s="35"/>
      <c r="C39" s="24"/>
      <c r="D39" s="25"/>
      <c r="E39" s="26"/>
      <c r="F39" s="24"/>
      <c r="G39" s="26"/>
      <c r="H39" s="24"/>
      <c r="I39" s="94"/>
      <c r="J39" s="116"/>
      <c r="K39" s="25"/>
    </row>
    <row r="40" spans="1:11" ht="12.75">
      <c r="A40" s="50" t="s">
        <v>62</v>
      </c>
      <c r="B40" t="s">
        <v>17</v>
      </c>
      <c r="C40" s="24">
        <v>5621</v>
      </c>
      <c r="D40" s="25">
        <v>8821</v>
      </c>
      <c r="E40" s="26">
        <v>-17</v>
      </c>
      <c r="F40" s="24">
        <v>0</v>
      </c>
      <c r="G40" s="26">
        <v>0</v>
      </c>
      <c r="H40" s="24">
        <v>0</v>
      </c>
      <c r="I40" s="94">
        <v>0</v>
      </c>
      <c r="J40" s="116">
        <v>0</v>
      </c>
      <c r="K40" s="59">
        <f>SUM(D40:J40)</f>
        <v>8804</v>
      </c>
    </row>
    <row r="41" spans="1:11" s="11" customFormat="1" ht="12.75">
      <c r="A41" s="257"/>
      <c r="B41" s="259" t="s">
        <v>66</v>
      </c>
      <c r="C41" s="260">
        <f>SUM(C40)</f>
        <v>5621</v>
      </c>
      <c r="D41" s="260">
        <f aca="true" t="shared" si="8" ref="D41:K41">SUM(D40)</f>
        <v>8821</v>
      </c>
      <c r="E41" s="260">
        <f t="shared" si="8"/>
        <v>-17</v>
      </c>
      <c r="F41" s="260">
        <f t="shared" si="8"/>
        <v>0</v>
      </c>
      <c r="G41" s="260">
        <f t="shared" si="8"/>
        <v>0</v>
      </c>
      <c r="H41" s="260">
        <f t="shared" si="8"/>
        <v>0</v>
      </c>
      <c r="I41" s="260">
        <f t="shared" si="8"/>
        <v>0</v>
      </c>
      <c r="J41" s="260">
        <f t="shared" si="8"/>
        <v>0</v>
      </c>
      <c r="K41" s="260">
        <f t="shared" si="8"/>
        <v>8804</v>
      </c>
    </row>
    <row r="42" spans="1:11" ht="12.75">
      <c r="A42" s="50"/>
      <c r="B42" s="23"/>
      <c r="C42" s="24"/>
      <c r="D42" s="25"/>
      <c r="E42" s="26"/>
      <c r="F42" s="24"/>
      <c r="G42" s="26"/>
      <c r="H42" s="24"/>
      <c r="I42" s="94"/>
      <c r="J42" s="116"/>
      <c r="K42" s="25"/>
    </row>
    <row r="43" spans="1:11" ht="12.75">
      <c r="A43" s="50" t="s">
        <v>169</v>
      </c>
      <c r="B43" t="s">
        <v>12</v>
      </c>
      <c r="C43" s="24">
        <v>11158</v>
      </c>
      <c r="D43" s="25">
        <v>11158</v>
      </c>
      <c r="E43" s="26">
        <v>-33</v>
      </c>
      <c r="F43" s="24">
        <v>0</v>
      </c>
      <c r="G43" s="26">
        <v>0</v>
      </c>
      <c r="H43" s="24">
        <v>0</v>
      </c>
      <c r="I43" s="94">
        <v>0</v>
      </c>
      <c r="J43" s="116">
        <v>0</v>
      </c>
      <c r="K43" s="59">
        <f>SUM(D43:J43)</f>
        <v>11125</v>
      </c>
    </row>
    <row r="44" spans="1:11" s="11" customFormat="1" ht="12.75">
      <c r="A44" s="257"/>
      <c r="B44" s="259" t="s">
        <v>123</v>
      </c>
      <c r="C44" s="260">
        <f>SUM(C43)</f>
        <v>11158</v>
      </c>
      <c r="D44" s="260">
        <f aca="true" t="shared" si="9" ref="D44:K44">SUM(D43)</f>
        <v>11158</v>
      </c>
      <c r="E44" s="260">
        <f t="shared" si="9"/>
        <v>-33</v>
      </c>
      <c r="F44" s="260">
        <f t="shared" si="9"/>
        <v>0</v>
      </c>
      <c r="G44" s="260">
        <f t="shared" si="9"/>
        <v>0</v>
      </c>
      <c r="H44" s="260">
        <f t="shared" si="9"/>
        <v>0</v>
      </c>
      <c r="I44" s="260">
        <f t="shared" si="9"/>
        <v>0</v>
      </c>
      <c r="J44" s="260">
        <f t="shared" si="9"/>
        <v>0</v>
      </c>
      <c r="K44" s="260">
        <f t="shared" si="9"/>
        <v>11125</v>
      </c>
    </row>
    <row r="45" spans="1:11" ht="12.75">
      <c r="A45" s="50"/>
      <c r="B45" s="23"/>
      <c r="C45" s="24"/>
      <c r="D45" s="25"/>
      <c r="E45" s="26"/>
      <c r="F45" s="24"/>
      <c r="G45" s="26"/>
      <c r="H45" s="24"/>
      <c r="I45" s="94"/>
      <c r="J45" s="116"/>
      <c r="K45" s="25"/>
    </row>
    <row r="46" spans="1:11" ht="12.75">
      <c r="A46" s="50" t="s">
        <v>170</v>
      </c>
      <c r="B46" t="s">
        <v>124</v>
      </c>
      <c r="C46" s="24">
        <v>1498</v>
      </c>
      <c r="D46" s="25">
        <v>1498</v>
      </c>
      <c r="E46" s="26">
        <v>-4</v>
      </c>
      <c r="F46" s="24">
        <v>0</v>
      </c>
      <c r="G46" s="26">
        <v>0</v>
      </c>
      <c r="H46" s="24">
        <v>0</v>
      </c>
      <c r="I46" s="94">
        <v>0</v>
      </c>
      <c r="J46" s="116">
        <v>0</v>
      </c>
      <c r="K46" s="59">
        <f>SUM(D46:J46)</f>
        <v>1494</v>
      </c>
    </row>
    <row r="47" spans="1:11" s="11" customFormat="1" ht="12.75">
      <c r="A47" s="257"/>
      <c r="B47" s="259" t="s">
        <v>125</v>
      </c>
      <c r="C47" s="260">
        <f>SUM(C46)</f>
        <v>1498</v>
      </c>
      <c r="D47" s="260">
        <f aca="true" t="shared" si="10" ref="D47:K47">SUM(D46)</f>
        <v>1498</v>
      </c>
      <c r="E47" s="260">
        <f t="shared" si="10"/>
        <v>-4</v>
      </c>
      <c r="F47" s="260">
        <f t="shared" si="10"/>
        <v>0</v>
      </c>
      <c r="G47" s="260">
        <f t="shared" si="10"/>
        <v>0</v>
      </c>
      <c r="H47" s="260">
        <f t="shared" si="10"/>
        <v>0</v>
      </c>
      <c r="I47" s="260">
        <f t="shared" si="10"/>
        <v>0</v>
      </c>
      <c r="J47" s="260">
        <f t="shared" si="10"/>
        <v>0</v>
      </c>
      <c r="K47" s="260">
        <f t="shared" si="10"/>
        <v>1494</v>
      </c>
    </row>
    <row r="48" spans="1:11" ht="12.75">
      <c r="A48" s="50"/>
      <c r="B48" s="34"/>
      <c r="C48" s="24"/>
      <c r="D48" s="25"/>
      <c r="E48" s="26"/>
      <c r="F48" s="24"/>
      <c r="G48" s="26"/>
      <c r="H48" s="24"/>
      <c r="I48" s="94"/>
      <c r="J48" s="116"/>
      <c r="K48" s="25"/>
    </row>
    <row r="49" spans="1:11" ht="12.75">
      <c r="A49" s="50" t="s">
        <v>171</v>
      </c>
      <c r="B49" t="s">
        <v>12</v>
      </c>
      <c r="C49" s="24">
        <v>2149</v>
      </c>
      <c r="D49" s="25">
        <v>2149</v>
      </c>
      <c r="E49" s="26">
        <v>-6</v>
      </c>
      <c r="F49" s="24">
        <v>0</v>
      </c>
      <c r="G49" s="26">
        <v>0</v>
      </c>
      <c r="H49" s="24">
        <v>0</v>
      </c>
      <c r="I49" s="94">
        <v>0</v>
      </c>
      <c r="J49" s="116">
        <v>0</v>
      </c>
      <c r="K49" s="59">
        <f>SUM(D49:J49)</f>
        <v>2143</v>
      </c>
    </row>
    <row r="50" spans="1:11" s="11" customFormat="1" ht="12.75">
      <c r="A50" s="257"/>
      <c r="B50" s="259" t="s">
        <v>126</v>
      </c>
      <c r="C50" s="260">
        <f>SUM(C49)</f>
        <v>2149</v>
      </c>
      <c r="D50" s="260">
        <f aca="true" t="shared" si="11" ref="D50:K50">SUM(D49)</f>
        <v>2149</v>
      </c>
      <c r="E50" s="260">
        <f t="shared" si="11"/>
        <v>-6</v>
      </c>
      <c r="F50" s="260">
        <f t="shared" si="11"/>
        <v>0</v>
      </c>
      <c r="G50" s="260">
        <f t="shared" si="11"/>
        <v>0</v>
      </c>
      <c r="H50" s="260">
        <f t="shared" si="11"/>
        <v>0</v>
      </c>
      <c r="I50" s="260">
        <f t="shared" si="11"/>
        <v>0</v>
      </c>
      <c r="J50" s="260">
        <f t="shared" si="11"/>
        <v>0</v>
      </c>
      <c r="K50" s="260">
        <f t="shared" si="11"/>
        <v>2143</v>
      </c>
    </row>
    <row r="51" spans="1:11" ht="12.75">
      <c r="A51" s="50"/>
      <c r="B51" s="23"/>
      <c r="C51" s="24"/>
      <c r="D51" s="25"/>
      <c r="E51" s="26"/>
      <c r="F51" s="24"/>
      <c r="G51" s="26"/>
      <c r="H51" s="24"/>
      <c r="I51" s="94"/>
      <c r="J51" s="116"/>
      <c r="K51" s="25"/>
    </row>
    <row r="52" spans="1:11" ht="12.75">
      <c r="A52" s="50" t="s">
        <v>172</v>
      </c>
      <c r="B52" t="s">
        <v>12</v>
      </c>
      <c r="C52" s="24">
        <v>689</v>
      </c>
      <c r="D52" s="25">
        <v>689</v>
      </c>
      <c r="E52" s="26">
        <v>-2</v>
      </c>
      <c r="F52" s="24">
        <v>0</v>
      </c>
      <c r="G52" s="26">
        <v>0</v>
      </c>
      <c r="H52" s="24">
        <v>0</v>
      </c>
      <c r="I52" s="94">
        <v>0</v>
      </c>
      <c r="J52" s="116">
        <v>0</v>
      </c>
      <c r="K52" s="59">
        <f>SUM(D52:J52)</f>
        <v>687</v>
      </c>
    </row>
    <row r="53" spans="1:11" s="11" customFormat="1" ht="12.75">
      <c r="A53" s="257"/>
      <c r="B53" s="259" t="s">
        <v>127</v>
      </c>
      <c r="C53" s="260">
        <f>SUM(C52)</f>
        <v>689</v>
      </c>
      <c r="D53" s="260">
        <f aca="true" t="shared" si="12" ref="D53:K53">SUM(D52)</f>
        <v>689</v>
      </c>
      <c r="E53" s="260">
        <f t="shared" si="12"/>
        <v>-2</v>
      </c>
      <c r="F53" s="260">
        <f t="shared" si="12"/>
        <v>0</v>
      </c>
      <c r="G53" s="260">
        <f t="shared" si="12"/>
        <v>0</v>
      </c>
      <c r="H53" s="260">
        <f t="shared" si="12"/>
        <v>0</v>
      </c>
      <c r="I53" s="260">
        <f t="shared" si="12"/>
        <v>0</v>
      </c>
      <c r="J53" s="260">
        <f t="shared" si="12"/>
        <v>0</v>
      </c>
      <c r="K53" s="260">
        <f t="shared" si="12"/>
        <v>687</v>
      </c>
    </row>
    <row r="54" spans="1:11" s="11" customFormat="1" ht="12.75">
      <c r="A54" s="50"/>
      <c r="C54" s="56"/>
      <c r="D54" s="56"/>
      <c r="E54" s="56"/>
      <c r="F54" s="56"/>
      <c r="G54" s="56"/>
      <c r="H54" s="56"/>
      <c r="I54" s="124"/>
      <c r="J54" s="124"/>
      <c r="K54" s="56"/>
    </row>
    <row r="55" spans="1:11" s="11" customFormat="1" ht="12.75">
      <c r="A55" s="50" t="s">
        <v>205</v>
      </c>
      <c r="B55" s="27" t="s">
        <v>206</v>
      </c>
      <c r="C55" s="24">
        <v>436</v>
      </c>
      <c r="D55" s="25">
        <v>436</v>
      </c>
      <c r="E55" s="26">
        <v>-1</v>
      </c>
      <c r="F55" s="24">
        <v>0</v>
      </c>
      <c r="G55" s="26">
        <v>0</v>
      </c>
      <c r="H55" s="24">
        <v>0</v>
      </c>
      <c r="I55" s="94">
        <v>0</v>
      </c>
      <c r="J55" s="116">
        <v>0</v>
      </c>
      <c r="K55" s="59">
        <f>SUM(D55:J55)</f>
        <v>435</v>
      </c>
    </row>
    <row r="56" spans="1:11" s="11" customFormat="1" ht="12.75">
      <c r="A56" s="257"/>
      <c r="B56" s="259" t="s">
        <v>204</v>
      </c>
      <c r="C56" s="260">
        <f>SUM(C55)</f>
        <v>436</v>
      </c>
      <c r="D56" s="260">
        <f aca="true" t="shared" si="13" ref="D56:K56">SUM(D55)</f>
        <v>436</v>
      </c>
      <c r="E56" s="260">
        <f t="shared" si="13"/>
        <v>-1</v>
      </c>
      <c r="F56" s="260">
        <f t="shared" si="13"/>
        <v>0</v>
      </c>
      <c r="G56" s="260">
        <f t="shared" si="13"/>
        <v>0</v>
      </c>
      <c r="H56" s="260">
        <f t="shared" si="13"/>
        <v>0</v>
      </c>
      <c r="I56" s="260">
        <f t="shared" si="13"/>
        <v>0</v>
      </c>
      <c r="J56" s="260">
        <f t="shared" si="13"/>
        <v>0</v>
      </c>
      <c r="K56" s="260">
        <f t="shared" si="13"/>
        <v>435</v>
      </c>
    </row>
    <row r="57" spans="1:11" s="11" customFormat="1" ht="12.75">
      <c r="A57" s="50"/>
      <c r="C57" s="56"/>
      <c r="D57" s="56"/>
      <c r="E57" s="56"/>
      <c r="F57" s="56"/>
      <c r="G57" s="56"/>
      <c r="H57" s="56"/>
      <c r="I57" s="124"/>
      <c r="J57" s="124"/>
      <c r="K57" s="56"/>
    </row>
    <row r="58" spans="1:11" s="11" customFormat="1" ht="12.75">
      <c r="A58" s="50" t="s">
        <v>179</v>
      </c>
      <c r="B58" s="93" t="s">
        <v>4</v>
      </c>
      <c r="C58" s="116">
        <v>4505</v>
      </c>
      <c r="D58" s="25">
        <v>4505</v>
      </c>
      <c r="E58" s="116">
        <v>-13</v>
      </c>
      <c r="F58" s="116">
        <v>0</v>
      </c>
      <c r="G58" s="26">
        <v>0</v>
      </c>
      <c r="H58" s="116">
        <v>0</v>
      </c>
      <c r="I58" s="94">
        <v>0</v>
      </c>
      <c r="J58" s="116">
        <f>SUM('FY 09-11 DD 1416 Tracker-Total'!AU70)</f>
        <v>0</v>
      </c>
      <c r="K58" s="59">
        <f>SUM(D58:J58)</f>
        <v>4492</v>
      </c>
    </row>
    <row r="59" spans="1:11" s="11" customFormat="1" ht="12.75">
      <c r="A59" s="257"/>
      <c r="B59" s="259" t="s">
        <v>48</v>
      </c>
      <c r="C59" s="260">
        <f aca="true" t="shared" si="14" ref="C59:K59">SUM(C58)</f>
        <v>4505</v>
      </c>
      <c r="D59" s="260">
        <f t="shared" si="14"/>
        <v>4505</v>
      </c>
      <c r="E59" s="260">
        <f t="shared" si="14"/>
        <v>-13</v>
      </c>
      <c r="F59" s="260">
        <f t="shared" si="14"/>
        <v>0</v>
      </c>
      <c r="G59" s="260">
        <f t="shared" si="14"/>
        <v>0</v>
      </c>
      <c r="H59" s="260">
        <f t="shared" si="14"/>
        <v>0</v>
      </c>
      <c r="I59" s="260">
        <f t="shared" si="14"/>
        <v>0</v>
      </c>
      <c r="J59" s="260">
        <f t="shared" si="14"/>
        <v>0</v>
      </c>
      <c r="K59" s="260">
        <f t="shared" si="14"/>
        <v>4492</v>
      </c>
    </row>
    <row r="60" spans="1:11" s="11" customFormat="1" ht="13.5" thickBot="1">
      <c r="A60" s="50"/>
      <c r="C60" s="56"/>
      <c r="D60" s="56"/>
      <c r="E60" s="56"/>
      <c r="F60" s="56"/>
      <c r="G60" s="56"/>
      <c r="H60" s="56"/>
      <c r="I60" s="124"/>
      <c r="J60" s="124"/>
      <c r="K60" s="56"/>
    </row>
    <row r="61" spans="1:11" s="52" customFormat="1" ht="13.5" thickBot="1">
      <c r="A61" s="245"/>
      <c r="B61" s="51" t="s">
        <v>232</v>
      </c>
      <c r="C61" s="38">
        <f>SUM(C9+C13+C26+C29+C32+C35+C38+C41+C44+C47+C50+C53+C56+C59)</f>
        <v>575166</v>
      </c>
      <c r="D61" s="38">
        <f aca="true" t="shared" si="15" ref="D61:K61">SUM(D9+D13+D26+D29+D32+D35+D38+D41+D44+D47+D50+D53+D56+D59)</f>
        <v>551414</v>
      </c>
      <c r="E61" s="38">
        <f t="shared" si="15"/>
        <v>-1625</v>
      </c>
      <c r="F61" s="38">
        <f t="shared" si="15"/>
        <v>0</v>
      </c>
      <c r="G61" s="38">
        <f t="shared" si="15"/>
        <v>0</v>
      </c>
      <c r="H61" s="38">
        <f t="shared" si="15"/>
        <v>0</v>
      </c>
      <c r="I61" s="38">
        <f t="shared" si="15"/>
        <v>-3461</v>
      </c>
      <c r="J61" s="38">
        <f t="shared" si="15"/>
        <v>0</v>
      </c>
      <c r="K61" s="38">
        <f t="shared" si="15"/>
        <v>546329</v>
      </c>
    </row>
    <row r="62" spans="1:11" ht="12.75">
      <c r="A62" s="246"/>
      <c r="B62" s="36"/>
      <c r="C62" s="24"/>
      <c r="D62" s="25"/>
      <c r="E62" s="26"/>
      <c r="F62" s="24"/>
      <c r="G62" s="26"/>
      <c r="H62" s="24"/>
      <c r="I62" s="94"/>
      <c r="J62" s="116"/>
      <c r="K62" s="25"/>
    </row>
    <row r="63" spans="1:12" ht="12.75">
      <c r="A63" s="50" t="s">
        <v>174</v>
      </c>
      <c r="B63" s="3" t="s">
        <v>22</v>
      </c>
      <c r="C63" s="24">
        <v>51950</v>
      </c>
      <c r="D63" s="25">
        <v>89350</v>
      </c>
      <c r="E63" s="26">
        <v>-153</v>
      </c>
      <c r="F63" s="24">
        <v>0</v>
      </c>
      <c r="G63" s="26">
        <v>0</v>
      </c>
      <c r="H63" s="24">
        <v>0</v>
      </c>
      <c r="I63" s="94">
        <v>0</v>
      </c>
      <c r="J63" s="116">
        <f>4194+2128</f>
        <v>6322</v>
      </c>
      <c r="K63" s="59">
        <f>SUM(D63:J63)</f>
        <v>95519</v>
      </c>
      <c r="L63" s="16"/>
    </row>
    <row r="64" spans="1:12" ht="12.75">
      <c r="A64" s="50"/>
      <c r="B64" s="3" t="s">
        <v>254</v>
      </c>
      <c r="C64" s="24">
        <v>63667</v>
      </c>
      <c r="D64" s="25">
        <v>63667</v>
      </c>
      <c r="E64" s="26">
        <v>-188</v>
      </c>
      <c r="F64" s="24">
        <v>0</v>
      </c>
      <c r="G64" s="26">
        <v>0</v>
      </c>
      <c r="H64" s="24">
        <v>0</v>
      </c>
      <c r="I64" s="94">
        <v>366</v>
      </c>
      <c r="J64" s="116">
        <f>11201-2128</f>
        <v>9073</v>
      </c>
      <c r="K64" s="59">
        <f aca="true" t="shared" si="16" ref="K64:K98">SUM(D64:J64)</f>
        <v>72918</v>
      </c>
      <c r="L64" s="16"/>
    </row>
    <row r="65" spans="1:12" ht="12.75">
      <c r="A65" s="50"/>
      <c r="B65" s="3" t="s">
        <v>23</v>
      </c>
      <c r="C65" s="24">
        <v>98163</v>
      </c>
      <c r="D65" s="25">
        <v>98163</v>
      </c>
      <c r="E65" s="26">
        <v>-400</v>
      </c>
      <c r="F65" s="24">
        <v>0</v>
      </c>
      <c r="G65" s="26">
        <v>0</v>
      </c>
      <c r="H65" s="24">
        <v>0</v>
      </c>
      <c r="I65" s="94">
        <v>0</v>
      </c>
      <c r="J65" s="116">
        <v>-1800</v>
      </c>
      <c r="K65" s="59">
        <f t="shared" si="16"/>
        <v>95963</v>
      </c>
      <c r="L65" s="16"/>
    </row>
    <row r="66" spans="1:12" ht="12.75">
      <c r="A66" s="50"/>
      <c r="B66" s="3" t="s">
        <v>133</v>
      </c>
      <c r="C66" s="24">
        <v>39172</v>
      </c>
      <c r="D66" s="25">
        <v>39172</v>
      </c>
      <c r="E66" s="26">
        <v>-116</v>
      </c>
      <c r="F66" s="24">
        <v>0</v>
      </c>
      <c r="G66" s="26">
        <v>0</v>
      </c>
      <c r="H66" s="24">
        <v>0</v>
      </c>
      <c r="I66" s="94">
        <v>0</v>
      </c>
      <c r="J66" s="116">
        <v>10740</v>
      </c>
      <c r="K66" s="59">
        <f t="shared" si="16"/>
        <v>49796</v>
      </c>
      <c r="L66" s="16"/>
    </row>
    <row r="67" spans="1:12" ht="12.75">
      <c r="A67" s="50"/>
      <c r="B67" s="3" t="s">
        <v>134</v>
      </c>
      <c r="C67" s="24">
        <v>36286</v>
      </c>
      <c r="D67" s="25">
        <v>11286</v>
      </c>
      <c r="E67" s="26">
        <v>-33</v>
      </c>
      <c r="F67" s="24">
        <v>0</v>
      </c>
      <c r="G67" s="26">
        <v>0</v>
      </c>
      <c r="H67" s="24">
        <v>0</v>
      </c>
      <c r="I67" s="94">
        <v>0</v>
      </c>
      <c r="J67" s="116">
        <v>0</v>
      </c>
      <c r="K67" s="59">
        <f t="shared" si="16"/>
        <v>11253</v>
      </c>
      <c r="L67" s="16"/>
    </row>
    <row r="68" spans="1:12" ht="12.75">
      <c r="A68" s="50"/>
      <c r="B68" s="3" t="s">
        <v>219</v>
      </c>
      <c r="C68" s="24">
        <v>7659</v>
      </c>
      <c r="D68" s="25">
        <v>7659</v>
      </c>
      <c r="E68" s="26">
        <v>-23</v>
      </c>
      <c r="F68" s="24">
        <v>0</v>
      </c>
      <c r="G68" s="26">
        <v>0</v>
      </c>
      <c r="H68" s="24">
        <v>0</v>
      </c>
      <c r="I68" s="94">
        <v>0</v>
      </c>
      <c r="J68" s="116">
        <v>0</v>
      </c>
      <c r="K68" s="59">
        <f t="shared" si="16"/>
        <v>7636</v>
      </c>
      <c r="L68" s="16"/>
    </row>
    <row r="69" spans="1:12" ht="12.75">
      <c r="A69" s="50"/>
      <c r="B69" s="3" t="s">
        <v>24</v>
      </c>
      <c r="C69" s="24">
        <v>162971</v>
      </c>
      <c r="D69" s="25">
        <v>162971</v>
      </c>
      <c r="E69" s="26">
        <v>-481</v>
      </c>
      <c r="F69" s="24">
        <v>0</v>
      </c>
      <c r="G69" s="26">
        <v>0</v>
      </c>
      <c r="H69" s="24">
        <v>0</v>
      </c>
      <c r="I69" s="94">
        <v>0</v>
      </c>
      <c r="J69" s="116">
        <v>-7460</v>
      </c>
      <c r="K69" s="59">
        <f t="shared" si="16"/>
        <v>155030</v>
      </c>
      <c r="L69" s="16"/>
    </row>
    <row r="70" spans="1:12" ht="12.75">
      <c r="A70" s="50"/>
      <c r="B70" s="3" t="s">
        <v>25</v>
      </c>
      <c r="C70" s="24">
        <v>47018</v>
      </c>
      <c r="D70" s="25">
        <v>33277</v>
      </c>
      <c r="E70" s="26">
        <v>-98</v>
      </c>
      <c r="F70" s="24">
        <v>0</v>
      </c>
      <c r="G70" s="26">
        <v>17000</v>
      </c>
      <c r="H70" s="24">
        <v>0</v>
      </c>
      <c r="I70" s="94">
        <v>141300</v>
      </c>
      <c r="J70" s="116">
        <f>-2392+31</f>
        <v>-2361</v>
      </c>
      <c r="K70" s="59">
        <f t="shared" si="16"/>
        <v>189118</v>
      </c>
      <c r="L70" s="16"/>
    </row>
    <row r="71" spans="1:12" ht="12.75">
      <c r="A71" s="50"/>
      <c r="B71" s="3" t="s">
        <v>26</v>
      </c>
      <c r="C71" s="24">
        <v>1347</v>
      </c>
      <c r="D71" s="25">
        <v>1347</v>
      </c>
      <c r="E71" s="26">
        <v>-4</v>
      </c>
      <c r="F71" s="24">
        <v>0</v>
      </c>
      <c r="G71" s="26">
        <v>0</v>
      </c>
      <c r="H71" s="24">
        <v>0</v>
      </c>
      <c r="I71" s="94">
        <v>0</v>
      </c>
      <c r="J71" s="116">
        <f>-237-31</f>
        <v>-268</v>
      </c>
      <c r="K71" s="59">
        <f t="shared" si="16"/>
        <v>1075</v>
      </c>
      <c r="L71" s="16"/>
    </row>
    <row r="72" spans="1:12" ht="12.75">
      <c r="A72" s="50"/>
      <c r="B72" s="3" t="s">
        <v>27</v>
      </c>
      <c r="C72" s="24">
        <v>5760</v>
      </c>
      <c r="D72" s="25">
        <v>5760</v>
      </c>
      <c r="E72" s="26">
        <v>-17</v>
      </c>
      <c r="F72" s="24">
        <v>0</v>
      </c>
      <c r="G72" s="26">
        <v>-5200</v>
      </c>
      <c r="H72" s="24">
        <v>0</v>
      </c>
      <c r="I72" s="94">
        <v>0</v>
      </c>
      <c r="J72" s="116">
        <v>0</v>
      </c>
      <c r="K72" s="59">
        <f t="shared" si="16"/>
        <v>543</v>
      </c>
      <c r="L72" s="16"/>
    </row>
    <row r="73" spans="1:12" ht="12.75">
      <c r="A73" s="50"/>
      <c r="B73" s="3" t="s">
        <v>28</v>
      </c>
      <c r="C73" s="24">
        <v>7061</v>
      </c>
      <c r="D73" s="25">
        <v>7061</v>
      </c>
      <c r="E73" s="26">
        <v>-21</v>
      </c>
      <c r="F73" s="24">
        <v>0</v>
      </c>
      <c r="G73" s="26">
        <v>0</v>
      </c>
      <c r="H73" s="24">
        <v>0</v>
      </c>
      <c r="I73" s="94">
        <v>0</v>
      </c>
      <c r="J73" s="116">
        <v>0</v>
      </c>
      <c r="K73" s="59">
        <f t="shared" si="16"/>
        <v>7040</v>
      </c>
      <c r="L73" s="16"/>
    </row>
    <row r="74" spans="1:12" ht="12.75">
      <c r="A74" s="50"/>
      <c r="B74" s="3" t="s">
        <v>135</v>
      </c>
      <c r="C74" s="24">
        <v>67083</v>
      </c>
      <c r="D74" s="25">
        <v>67083</v>
      </c>
      <c r="E74" s="26">
        <v>-198</v>
      </c>
      <c r="F74" s="24">
        <v>0</v>
      </c>
      <c r="G74" s="26">
        <f>43640+1000</f>
        <v>44640</v>
      </c>
      <c r="H74" s="24">
        <v>0</v>
      </c>
      <c r="I74" s="94">
        <v>0</v>
      </c>
      <c r="J74" s="116">
        <v>-5924</v>
      </c>
      <c r="K74" s="59">
        <f t="shared" si="16"/>
        <v>105601</v>
      </c>
      <c r="L74" s="16"/>
    </row>
    <row r="75" spans="1:12" ht="12.75">
      <c r="A75" s="50"/>
      <c r="B75" s="3" t="s">
        <v>136</v>
      </c>
      <c r="C75" s="24">
        <v>5540</v>
      </c>
      <c r="D75" s="25">
        <v>12540</v>
      </c>
      <c r="E75" s="26">
        <v>-37</v>
      </c>
      <c r="F75" s="24">
        <v>0</v>
      </c>
      <c r="G75" s="26">
        <v>0</v>
      </c>
      <c r="H75" s="24">
        <v>0</v>
      </c>
      <c r="I75" s="94">
        <v>0</v>
      </c>
      <c r="J75" s="116">
        <v>7051</v>
      </c>
      <c r="K75" s="59">
        <f t="shared" si="16"/>
        <v>19554</v>
      </c>
      <c r="L75" s="16"/>
    </row>
    <row r="76" spans="1:12" ht="12.75">
      <c r="A76" s="50"/>
      <c r="B76" s="3" t="s">
        <v>137</v>
      </c>
      <c r="C76" s="24">
        <v>67220</v>
      </c>
      <c r="D76" s="25">
        <v>73220</v>
      </c>
      <c r="E76" s="26">
        <v>-216</v>
      </c>
      <c r="F76" s="24">
        <v>0</v>
      </c>
      <c r="G76" s="26">
        <v>3100</v>
      </c>
      <c r="H76" s="24">
        <v>0</v>
      </c>
      <c r="I76" s="94">
        <v>0</v>
      </c>
      <c r="J76" s="116">
        <v>7058</v>
      </c>
      <c r="K76" s="59">
        <f t="shared" si="16"/>
        <v>83162</v>
      </c>
      <c r="L76" s="16"/>
    </row>
    <row r="77" spans="1:12" ht="12.75">
      <c r="A77" s="50"/>
      <c r="B77" s="3" t="s">
        <v>29</v>
      </c>
      <c r="C77" s="24">
        <v>54122</v>
      </c>
      <c r="D77" s="25">
        <v>56122</v>
      </c>
      <c r="E77" s="26">
        <v>-165</v>
      </c>
      <c r="F77" s="24">
        <v>0</v>
      </c>
      <c r="G77" s="26">
        <v>8100</v>
      </c>
      <c r="H77" s="24">
        <v>0</v>
      </c>
      <c r="I77" s="94">
        <v>0</v>
      </c>
      <c r="J77" s="116">
        <v>2391</v>
      </c>
      <c r="K77" s="59">
        <f t="shared" si="16"/>
        <v>66448</v>
      </c>
      <c r="L77" s="16"/>
    </row>
    <row r="78" spans="1:12" ht="12.75">
      <c r="A78" s="50"/>
      <c r="B78" s="3" t="s">
        <v>31</v>
      </c>
      <c r="C78" s="24">
        <v>15689</v>
      </c>
      <c r="D78" s="25">
        <v>23489</v>
      </c>
      <c r="E78" s="26">
        <v>-69</v>
      </c>
      <c r="F78" s="24">
        <v>0</v>
      </c>
      <c r="G78" s="26">
        <v>16250</v>
      </c>
      <c r="H78" s="24">
        <v>0</v>
      </c>
      <c r="I78" s="94">
        <v>0</v>
      </c>
      <c r="J78" s="116">
        <f>-103-16250+16250</f>
        <v>-103</v>
      </c>
      <c r="K78" s="59">
        <f t="shared" si="16"/>
        <v>39567</v>
      </c>
      <c r="L78" s="16"/>
    </row>
    <row r="79" spans="1:12" ht="12.75">
      <c r="A79" s="50"/>
      <c r="B79" s="3" t="s">
        <v>32</v>
      </c>
      <c r="C79" s="24">
        <v>1265</v>
      </c>
      <c r="D79" s="25">
        <v>1265</v>
      </c>
      <c r="E79" s="26">
        <v>-4</v>
      </c>
      <c r="F79" s="24">
        <v>0</v>
      </c>
      <c r="G79" s="26">
        <v>0</v>
      </c>
      <c r="H79" s="24">
        <v>0</v>
      </c>
      <c r="I79" s="94">
        <v>0</v>
      </c>
      <c r="J79" s="116">
        <v>0</v>
      </c>
      <c r="K79" s="59">
        <f t="shared" si="16"/>
        <v>1261</v>
      </c>
      <c r="L79" s="16"/>
    </row>
    <row r="80" spans="1:12" ht="12.75">
      <c r="A80" s="50"/>
      <c r="B80" s="3" t="s">
        <v>138</v>
      </c>
      <c r="C80" s="24">
        <v>12484</v>
      </c>
      <c r="D80" s="25">
        <v>12484</v>
      </c>
      <c r="E80" s="26">
        <v>-37</v>
      </c>
      <c r="F80" s="24">
        <v>0</v>
      </c>
      <c r="G80" s="26">
        <v>0</v>
      </c>
      <c r="H80" s="24">
        <v>0</v>
      </c>
      <c r="I80" s="94">
        <v>0</v>
      </c>
      <c r="J80" s="116">
        <v>0</v>
      </c>
      <c r="K80" s="59">
        <f t="shared" si="16"/>
        <v>12447</v>
      </c>
      <c r="L80" s="16"/>
    </row>
    <row r="81" spans="1:12" ht="12.75">
      <c r="A81" s="50"/>
      <c r="B81" s="3" t="s">
        <v>33</v>
      </c>
      <c r="C81" s="24">
        <v>18795</v>
      </c>
      <c r="D81" s="25">
        <v>21675</v>
      </c>
      <c r="E81" s="26">
        <v>-64</v>
      </c>
      <c r="F81" s="24">
        <v>0</v>
      </c>
      <c r="G81" s="26">
        <v>0</v>
      </c>
      <c r="H81" s="24">
        <v>0</v>
      </c>
      <c r="I81" s="94">
        <v>0</v>
      </c>
      <c r="J81" s="116">
        <v>-495</v>
      </c>
      <c r="K81" s="59">
        <f t="shared" si="16"/>
        <v>21116</v>
      </c>
      <c r="L81" s="16"/>
    </row>
    <row r="82" spans="1:12" ht="12.75">
      <c r="A82" s="50"/>
      <c r="B82" s="3" t="s">
        <v>34</v>
      </c>
      <c r="C82" s="24">
        <v>3272</v>
      </c>
      <c r="D82" s="25">
        <v>3272</v>
      </c>
      <c r="E82" s="26">
        <v>-10</v>
      </c>
      <c r="F82" s="24">
        <v>0</v>
      </c>
      <c r="G82" s="26">
        <v>0</v>
      </c>
      <c r="H82" s="24">
        <v>0</v>
      </c>
      <c r="I82" s="94">
        <v>0</v>
      </c>
      <c r="J82" s="116">
        <v>-651</v>
      </c>
      <c r="K82" s="59">
        <f t="shared" si="16"/>
        <v>2611</v>
      </c>
      <c r="L82" s="16"/>
    </row>
    <row r="83" spans="1:12" ht="12.75">
      <c r="A83" s="50"/>
      <c r="B83" s="3" t="s">
        <v>35</v>
      </c>
      <c r="C83" s="24">
        <v>3702</v>
      </c>
      <c r="D83" s="25">
        <v>3702</v>
      </c>
      <c r="E83" s="26">
        <v>-11</v>
      </c>
      <c r="F83" s="24">
        <v>0</v>
      </c>
      <c r="G83" s="26">
        <v>-6400</v>
      </c>
      <c r="H83" s="24">
        <v>0</v>
      </c>
      <c r="I83" s="94">
        <f>17000+142000</f>
        <v>159000</v>
      </c>
      <c r="J83" s="116">
        <f>900+6400-6400</f>
        <v>900</v>
      </c>
      <c r="K83" s="59">
        <f t="shared" si="16"/>
        <v>157191</v>
      </c>
      <c r="L83" s="16"/>
    </row>
    <row r="84" spans="1:12" ht="12.75">
      <c r="A84" s="50"/>
      <c r="B84" s="3" t="s">
        <v>139</v>
      </c>
      <c r="C84" s="24">
        <v>34151</v>
      </c>
      <c r="D84" s="25">
        <v>36151</v>
      </c>
      <c r="E84" s="26">
        <v>-107</v>
      </c>
      <c r="F84" s="24">
        <v>0</v>
      </c>
      <c r="G84" s="26">
        <v>0</v>
      </c>
      <c r="H84" s="24">
        <v>0</v>
      </c>
      <c r="I84" s="94">
        <v>0</v>
      </c>
      <c r="J84" s="116">
        <v>0</v>
      </c>
      <c r="K84" s="59">
        <f t="shared" si="16"/>
        <v>36044</v>
      </c>
      <c r="L84" s="16"/>
    </row>
    <row r="85" spans="1:12" ht="12.75">
      <c r="A85" s="50"/>
      <c r="B85" s="3" t="s">
        <v>140</v>
      </c>
      <c r="C85" s="24">
        <v>21593</v>
      </c>
      <c r="D85" s="25">
        <v>20000</v>
      </c>
      <c r="E85" s="26">
        <v>-59</v>
      </c>
      <c r="F85" s="24">
        <v>0</v>
      </c>
      <c r="G85" s="26">
        <v>0</v>
      </c>
      <c r="H85" s="24">
        <v>0</v>
      </c>
      <c r="I85" s="94">
        <v>0</v>
      </c>
      <c r="J85" s="116">
        <v>1059</v>
      </c>
      <c r="K85" s="59">
        <f t="shared" si="16"/>
        <v>21000</v>
      </c>
      <c r="L85" s="16"/>
    </row>
    <row r="86" spans="1:12" ht="12.75">
      <c r="A86" s="50"/>
      <c r="B86" s="3" t="s">
        <v>36</v>
      </c>
      <c r="C86" s="24">
        <v>11722</v>
      </c>
      <c r="D86" s="25">
        <v>11722</v>
      </c>
      <c r="E86" s="26">
        <v>-35</v>
      </c>
      <c r="F86" s="24">
        <v>0</v>
      </c>
      <c r="G86" s="26">
        <v>0</v>
      </c>
      <c r="H86" s="24">
        <v>0</v>
      </c>
      <c r="I86" s="94">
        <v>0</v>
      </c>
      <c r="J86" s="116">
        <v>-2337</v>
      </c>
      <c r="K86" s="59">
        <f t="shared" si="16"/>
        <v>9350</v>
      </c>
      <c r="L86" s="16"/>
    </row>
    <row r="87" spans="1:12" ht="12.75">
      <c r="A87" s="50"/>
      <c r="B87" s="3" t="s">
        <v>37</v>
      </c>
      <c r="C87" s="24">
        <v>27194</v>
      </c>
      <c r="D87" s="25">
        <v>55561</v>
      </c>
      <c r="E87" s="26">
        <v>-164</v>
      </c>
      <c r="F87" s="24">
        <v>0</v>
      </c>
      <c r="G87" s="26">
        <v>0</v>
      </c>
      <c r="H87" s="24">
        <v>0</v>
      </c>
      <c r="I87" s="94">
        <v>0</v>
      </c>
      <c r="J87" s="116">
        <f>0-6400+6400</f>
        <v>0</v>
      </c>
      <c r="K87" s="59">
        <f t="shared" si="16"/>
        <v>55397</v>
      </c>
      <c r="L87" s="16"/>
    </row>
    <row r="88" spans="1:12" ht="12.75">
      <c r="A88" s="50"/>
      <c r="B88" s="3" t="s">
        <v>220</v>
      </c>
      <c r="C88" s="24">
        <v>55248</v>
      </c>
      <c r="D88" s="25">
        <v>55248</v>
      </c>
      <c r="E88" s="26">
        <v>-163</v>
      </c>
      <c r="F88" s="24">
        <v>0</v>
      </c>
      <c r="G88" s="26">
        <v>0</v>
      </c>
      <c r="H88" s="24">
        <v>0</v>
      </c>
      <c r="I88" s="94">
        <v>0</v>
      </c>
      <c r="J88" s="116">
        <f>288+263</f>
        <v>551</v>
      </c>
      <c r="K88" s="59">
        <f t="shared" si="16"/>
        <v>55636</v>
      </c>
      <c r="L88" s="16"/>
    </row>
    <row r="89" spans="1:12" ht="12.75">
      <c r="A89" s="50"/>
      <c r="B89" s="117" t="s">
        <v>221</v>
      </c>
      <c r="C89" s="24">
        <v>15862</v>
      </c>
      <c r="D89" s="25">
        <v>15862</v>
      </c>
      <c r="E89" s="26">
        <v>-47</v>
      </c>
      <c r="F89" s="24">
        <v>0</v>
      </c>
      <c r="G89" s="26">
        <v>0</v>
      </c>
      <c r="H89" s="24">
        <v>0</v>
      </c>
      <c r="I89" s="94">
        <v>0</v>
      </c>
      <c r="J89" s="116">
        <v>-830</v>
      </c>
      <c r="K89" s="59">
        <f>SUM(D89:J89)</f>
        <v>14985</v>
      </c>
      <c r="L89" s="16"/>
    </row>
    <row r="90" spans="1:12" ht="12.75">
      <c r="A90" s="50"/>
      <c r="B90" s="3" t="s">
        <v>223</v>
      </c>
      <c r="C90" s="24">
        <v>25892</v>
      </c>
      <c r="D90" s="25">
        <v>25892</v>
      </c>
      <c r="E90" s="26">
        <v>-76</v>
      </c>
      <c r="F90" s="24">
        <v>0</v>
      </c>
      <c r="G90" s="26">
        <v>33750</v>
      </c>
      <c r="H90" s="24">
        <v>0</v>
      </c>
      <c r="I90" s="94">
        <v>0</v>
      </c>
      <c r="J90" s="116">
        <f>0+5000</f>
        <v>5000</v>
      </c>
      <c r="K90" s="59">
        <f>SUM(D90:J90)</f>
        <v>64566</v>
      </c>
      <c r="L90" s="16"/>
    </row>
    <row r="91" spans="1:12" ht="12.75">
      <c r="A91" s="50"/>
      <c r="B91" s="117" t="s">
        <v>222</v>
      </c>
      <c r="C91" s="24">
        <v>15455</v>
      </c>
      <c r="D91" s="25">
        <v>19455</v>
      </c>
      <c r="E91" s="26">
        <v>-57</v>
      </c>
      <c r="F91" s="24">
        <v>0</v>
      </c>
      <c r="G91" s="26">
        <v>0</v>
      </c>
      <c r="H91" s="24">
        <v>0</v>
      </c>
      <c r="I91" s="94">
        <v>0</v>
      </c>
      <c r="J91" s="116">
        <f>-3917+16250-16250</f>
        <v>-3917</v>
      </c>
      <c r="K91" s="59">
        <f>SUM(D91:J91)</f>
        <v>15481</v>
      </c>
      <c r="L91" s="16"/>
    </row>
    <row r="92" spans="1:12" ht="12.75">
      <c r="A92" s="50"/>
      <c r="B92" s="117" t="s">
        <v>224</v>
      </c>
      <c r="C92" s="24">
        <v>30201</v>
      </c>
      <c r="D92" s="25">
        <v>25351</v>
      </c>
      <c r="E92" s="26">
        <v>-75</v>
      </c>
      <c r="F92" s="24">
        <v>0</v>
      </c>
      <c r="G92" s="26">
        <v>0</v>
      </c>
      <c r="H92" s="24">
        <v>0</v>
      </c>
      <c r="I92" s="94">
        <v>0</v>
      </c>
      <c r="J92" s="116">
        <f>104-67</f>
        <v>37</v>
      </c>
      <c r="K92" s="59">
        <f>SUM(D92:J92)</f>
        <v>25313</v>
      </c>
      <c r="L92" s="16"/>
    </row>
    <row r="93" spans="1:12" ht="12.75">
      <c r="A93" s="50"/>
      <c r="B93" s="117" t="s">
        <v>225</v>
      </c>
      <c r="C93" s="24">
        <v>33966</v>
      </c>
      <c r="D93" s="25">
        <v>23566</v>
      </c>
      <c r="E93" s="26">
        <v>-69</v>
      </c>
      <c r="F93" s="24">
        <v>0</v>
      </c>
      <c r="G93" s="26">
        <v>0</v>
      </c>
      <c r="H93" s="24">
        <v>0</v>
      </c>
      <c r="I93" s="94">
        <v>11162</v>
      </c>
      <c r="J93" s="116">
        <v>-3686</v>
      </c>
      <c r="K93" s="59">
        <f>SUM(D93:J93)</f>
        <v>30973</v>
      </c>
      <c r="L93" s="16"/>
    </row>
    <row r="94" spans="1:12" ht="12.75">
      <c r="A94" s="50"/>
      <c r="B94" s="117" t="s">
        <v>38</v>
      </c>
      <c r="C94" s="24">
        <v>13450</v>
      </c>
      <c r="D94" s="25">
        <v>13450</v>
      </c>
      <c r="E94" s="26">
        <v>-40</v>
      </c>
      <c r="F94" s="24">
        <v>0</v>
      </c>
      <c r="G94" s="26">
        <v>0</v>
      </c>
      <c r="H94" s="24">
        <v>0</v>
      </c>
      <c r="I94" s="94">
        <v>0</v>
      </c>
      <c r="J94" s="116">
        <v>0</v>
      </c>
      <c r="K94" s="59">
        <f t="shared" si="16"/>
        <v>13410</v>
      </c>
      <c r="L94" s="16"/>
    </row>
    <row r="95" spans="1:12" ht="12.75">
      <c r="A95" s="50"/>
      <c r="B95" s="117" t="s">
        <v>39</v>
      </c>
      <c r="C95" s="24">
        <v>15331</v>
      </c>
      <c r="D95" s="25">
        <v>15331</v>
      </c>
      <c r="E95" s="26">
        <v>-45</v>
      </c>
      <c r="F95" s="24">
        <v>0</v>
      </c>
      <c r="G95" s="26">
        <v>0</v>
      </c>
      <c r="H95" s="24">
        <v>0</v>
      </c>
      <c r="I95" s="94">
        <v>0</v>
      </c>
      <c r="J95" s="116">
        <v>-3014</v>
      </c>
      <c r="K95" s="59">
        <f t="shared" si="16"/>
        <v>12272</v>
      </c>
      <c r="L95" s="16"/>
    </row>
    <row r="96" spans="1:12" ht="12.75">
      <c r="A96" s="50"/>
      <c r="B96" s="117" t="s">
        <v>198</v>
      </c>
      <c r="C96" s="24">
        <v>315443</v>
      </c>
      <c r="D96" s="25">
        <v>319443</v>
      </c>
      <c r="E96" s="26">
        <v>-941</v>
      </c>
      <c r="F96" s="24">
        <v>0</v>
      </c>
      <c r="G96" s="26">
        <v>1797</v>
      </c>
      <c r="H96" s="24">
        <v>0</v>
      </c>
      <c r="I96" s="94">
        <v>0</v>
      </c>
      <c r="J96" s="116">
        <f>-7042-4999+830</f>
        <v>-11211</v>
      </c>
      <c r="K96" s="59">
        <f t="shared" si="16"/>
        <v>309088</v>
      </c>
      <c r="L96" s="16"/>
    </row>
    <row r="97" spans="1:12" ht="12.75">
      <c r="A97" s="50"/>
      <c r="B97" s="117" t="s">
        <v>40</v>
      </c>
      <c r="C97" s="24">
        <v>64778</v>
      </c>
      <c r="D97" s="25">
        <v>55778</v>
      </c>
      <c r="E97" s="26">
        <v>-164</v>
      </c>
      <c r="F97" s="24">
        <v>0</v>
      </c>
      <c r="G97" s="26">
        <v>0</v>
      </c>
      <c r="H97" s="24">
        <v>0</v>
      </c>
      <c r="I97" s="94">
        <v>-18662</v>
      </c>
      <c r="J97" s="116">
        <f>-5928-196</f>
        <v>-6124</v>
      </c>
      <c r="K97" s="59">
        <f t="shared" si="16"/>
        <v>30828</v>
      </c>
      <c r="L97" s="16"/>
    </row>
    <row r="98" spans="1:12" ht="13.5" thickBot="1">
      <c r="A98" s="50"/>
      <c r="B98" s="31" t="s">
        <v>185</v>
      </c>
      <c r="C98" s="24">
        <v>0</v>
      </c>
      <c r="D98" s="25">
        <v>0</v>
      </c>
      <c r="E98" s="26">
        <v>0</v>
      </c>
      <c r="F98" s="24">
        <v>0</v>
      </c>
      <c r="G98" s="26">
        <v>0</v>
      </c>
      <c r="H98" s="24">
        <v>0</v>
      </c>
      <c r="I98" s="94">
        <f>2407+124+548</f>
        <v>3079</v>
      </c>
      <c r="J98" s="116">
        <v>0</v>
      </c>
      <c r="K98" s="59">
        <f t="shared" si="16"/>
        <v>3079</v>
      </c>
      <c r="L98" s="16"/>
    </row>
    <row r="99" spans="1:12" s="11" customFormat="1" ht="13.5" thickBot="1">
      <c r="A99" s="247"/>
      <c r="B99" s="37" t="s">
        <v>233</v>
      </c>
      <c r="C99" s="38">
        <f aca="true" t="shared" si="17" ref="C99:K99">SUM(C63:C98)</f>
        <v>1450512</v>
      </c>
      <c r="D99" s="38">
        <f t="shared" si="17"/>
        <v>1487375</v>
      </c>
      <c r="E99" s="38">
        <f t="shared" si="17"/>
        <v>-4387</v>
      </c>
      <c r="F99" s="38">
        <f t="shared" si="17"/>
        <v>0</v>
      </c>
      <c r="G99" s="38">
        <f t="shared" si="17"/>
        <v>113037</v>
      </c>
      <c r="H99" s="38">
        <f t="shared" si="17"/>
        <v>0</v>
      </c>
      <c r="I99" s="38">
        <f t="shared" si="17"/>
        <v>296245</v>
      </c>
      <c r="J99" s="38">
        <f>SUM(J63:J98)-1</f>
        <v>0</v>
      </c>
      <c r="K99" s="38">
        <f t="shared" si="17"/>
        <v>1892271</v>
      </c>
      <c r="L99" s="10"/>
    </row>
    <row r="100" spans="1:11" ht="12.75">
      <c r="A100" s="49"/>
      <c r="B100" s="40"/>
      <c r="C100" s="24"/>
      <c r="D100" s="25"/>
      <c r="E100" s="26"/>
      <c r="F100" s="24"/>
      <c r="G100" s="26"/>
      <c r="H100" s="24"/>
      <c r="I100" s="94"/>
      <c r="J100" s="116"/>
      <c r="K100" s="25"/>
    </row>
    <row r="101" spans="1:11" ht="12.75">
      <c r="A101" s="49" t="s">
        <v>173</v>
      </c>
      <c r="B101" s="3" t="s">
        <v>42</v>
      </c>
      <c r="C101" s="24">
        <v>88565</v>
      </c>
      <c r="D101" s="25">
        <v>88565</v>
      </c>
      <c r="E101" s="26">
        <v>-261</v>
      </c>
      <c r="F101" s="24">
        <v>0</v>
      </c>
      <c r="G101" s="24">
        <v>0</v>
      </c>
      <c r="H101" s="24">
        <v>0</v>
      </c>
      <c r="I101" s="24">
        <v>0</v>
      </c>
      <c r="J101" s="116">
        <v>99</v>
      </c>
      <c r="K101" s="25">
        <f aca="true" t="shared" si="18" ref="K101:K106">SUM(D101:J101)</f>
        <v>88403</v>
      </c>
    </row>
    <row r="102" spans="1:11" ht="12.75">
      <c r="A102" s="49"/>
      <c r="B102" s="3" t="s">
        <v>43</v>
      </c>
      <c r="C102" s="24">
        <v>80211</v>
      </c>
      <c r="D102" s="25">
        <v>80211</v>
      </c>
      <c r="E102" s="26">
        <v>-237</v>
      </c>
      <c r="F102" s="24">
        <v>0</v>
      </c>
      <c r="G102" s="24">
        <v>0</v>
      </c>
      <c r="H102" s="24">
        <v>0</v>
      </c>
      <c r="I102" s="24">
        <v>0</v>
      </c>
      <c r="J102" s="116">
        <v>-99</v>
      </c>
      <c r="K102" s="25">
        <f t="shared" si="18"/>
        <v>79875</v>
      </c>
    </row>
    <row r="103" spans="1:11" ht="12.75">
      <c r="A103" s="49"/>
      <c r="B103" s="3" t="s">
        <v>44</v>
      </c>
      <c r="C103" s="24">
        <v>22299</v>
      </c>
      <c r="D103" s="25">
        <v>25579</v>
      </c>
      <c r="E103" s="26">
        <v>-75</v>
      </c>
      <c r="F103" s="24">
        <v>0</v>
      </c>
      <c r="G103" s="24">
        <v>0</v>
      </c>
      <c r="H103" s="24">
        <v>0</v>
      </c>
      <c r="I103" s="24">
        <v>0</v>
      </c>
      <c r="J103" s="116">
        <v>-5100</v>
      </c>
      <c r="K103" s="25">
        <f t="shared" si="18"/>
        <v>20404</v>
      </c>
    </row>
    <row r="104" spans="1:11" ht="12.75">
      <c r="A104" s="49"/>
      <c r="B104" s="3" t="s">
        <v>45</v>
      </c>
      <c r="C104" s="24">
        <v>38702</v>
      </c>
      <c r="D104" s="25">
        <v>38702</v>
      </c>
      <c r="E104" s="26">
        <v>-114</v>
      </c>
      <c r="F104" s="24">
        <v>0</v>
      </c>
      <c r="G104" s="24">
        <v>0</v>
      </c>
      <c r="H104" s="24">
        <v>0</v>
      </c>
      <c r="I104" s="24">
        <v>0</v>
      </c>
      <c r="J104" s="116">
        <v>0</v>
      </c>
      <c r="K104" s="25">
        <f t="shared" si="18"/>
        <v>38588</v>
      </c>
    </row>
    <row r="105" spans="1:11" ht="12.75">
      <c r="A105" s="49"/>
      <c r="B105" s="3" t="s">
        <v>199</v>
      </c>
      <c r="C105" s="24">
        <v>37784</v>
      </c>
      <c r="D105" s="25">
        <v>37784</v>
      </c>
      <c r="E105" s="26">
        <v>-111</v>
      </c>
      <c r="F105" s="24">
        <v>0</v>
      </c>
      <c r="G105" s="24">
        <v>0</v>
      </c>
      <c r="H105" s="24">
        <v>0</v>
      </c>
      <c r="I105" s="24">
        <v>0</v>
      </c>
      <c r="J105" s="116">
        <v>0</v>
      </c>
      <c r="K105" s="25">
        <f t="shared" si="18"/>
        <v>37673</v>
      </c>
    </row>
    <row r="106" spans="1:11" ht="13.5" thickBot="1">
      <c r="A106" s="49"/>
      <c r="B106" s="3" t="s">
        <v>46</v>
      </c>
      <c r="C106" s="24">
        <v>199610</v>
      </c>
      <c r="D106" s="25">
        <v>186160</v>
      </c>
      <c r="E106" s="26">
        <v>-549</v>
      </c>
      <c r="F106" s="24">
        <v>0</v>
      </c>
      <c r="G106" s="24">
        <v>0</v>
      </c>
      <c r="H106" s="24">
        <v>0</v>
      </c>
      <c r="I106" s="24">
        <v>0</v>
      </c>
      <c r="J106" s="116">
        <v>5100</v>
      </c>
      <c r="K106" s="25">
        <f t="shared" si="18"/>
        <v>190711</v>
      </c>
    </row>
    <row r="107" spans="1:11" s="11" customFormat="1" ht="13.5" thickBot="1">
      <c r="A107" s="247"/>
      <c r="B107" s="37" t="s">
        <v>234</v>
      </c>
      <c r="C107" s="38">
        <f>SUM(C101:C106)</f>
        <v>467171</v>
      </c>
      <c r="D107" s="38">
        <f aca="true" t="shared" si="19" ref="D107:K107">SUM(D101:D106)</f>
        <v>457001</v>
      </c>
      <c r="E107" s="38">
        <f t="shared" si="19"/>
        <v>-1347</v>
      </c>
      <c r="F107" s="38">
        <f t="shared" si="19"/>
        <v>0</v>
      </c>
      <c r="G107" s="38">
        <f t="shared" si="19"/>
        <v>0</v>
      </c>
      <c r="H107" s="38">
        <f t="shared" si="19"/>
        <v>0</v>
      </c>
      <c r="I107" s="270">
        <f t="shared" si="19"/>
        <v>0</v>
      </c>
      <c r="J107" s="38">
        <f t="shared" si="19"/>
        <v>0</v>
      </c>
      <c r="K107" s="39">
        <f t="shared" si="19"/>
        <v>455654</v>
      </c>
    </row>
    <row r="108" spans="1:11" ht="12.75">
      <c r="A108" s="41"/>
      <c r="B108" s="42"/>
      <c r="C108" s="24"/>
      <c r="D108" s="29"/>
      <c r="E108" s="31"/>
      <c r="F108" s="33"/>
      <c r="G108" s="31"/>
      <c r="H108" s="33"/>
      <c r="I108" s="93"/>
      <c r="J108" s="123"/>
      <c r="K108" s="25"/>
    </row>
    <row r="109" spans="1:11" ht="12.75">
      <c r="A109" s="41" t="s">
        <v>235</v>
      </c>
      <c r="B109" s="3" t="s">
        <v>226</v>
      </c>
      <c r="C109" s="24">
        <v>0</v>
      </c>
      <c r="D109" s="25">
        <v>57100</v>
      </c>
      <c r="E109" s="26">
        <v>-168</v>
      </c>
      <c r="F109" s="24">
        <v>0</v>
      </c>
      <c r="G109" s="26">
        <v>0</v>
      </c>
      <c r="H109" s="24">
        <v>0</v>
      </c>
      <c r="I109" s="26">
        <v>45000</v>
      </c>
      <c r="J109" s="24">
        <v>0</v>
      </c>
      <c r="K109" s="25">
        <f>SUM(D109:J109)</f>
        <v>101932</v>
      </c>
    </row>
    <row r="110" spans="1:11" ht="13.5" thickBot="1">
      <c r="A110" s="41"/>
      <c r="B110" s="3" t="s">
        <v>227</v>
      </c>
      <c r="C110" s="24">
        <v>0</v>
      </c>
      <c r="D110" s="25">
        <v>105000</v>
      </c>
      <c r="E110" s="26">
        <v>-310</v>
      </c>
      <c r="F110" s="24">
        <v>0</v>
      </c>
      <c r="G110" s="26">
        <v>0</v>
      </c>
      <c r="H110" s="269">
        <v>0</v>
      </c>
      <c r="I110" s="26">
        <v>0</v>
      </c>
      <c r="J110" s="269">
        <v>0</v>
      </c>
      <c r="K110" s="25">
        <f>SUM(D110:J110)</f>
        <v>104690</v>
      </c>
    </row>
    <row r="111" spans="1:11" s="11" customFormat="1" ht="13.5" thickBot="1">
      <c r="A111" s="247"/>
      <c r="B111" s="37" t="s">
        <v>279</v>
      </c>
      <c r="C111" s="38">
        <f>SUM(C109:C110)</f>
        <v>0</v>
      </c>
      <c r="D111" s="38">
        <f aca="true" t="shared" si="20" ref="D111:K111">SUM(D109:D110)</f>
        <v>162100</v>
      </c>
      <c r="E111" s="38">
        <f t="shared" si="20"/>
        <v>-478</v>
      </c>
      <c r="F111" s="38">
        <f t="shared" si="20"/>
        <v>0</v>
      </c>
      <c r="G111" s="38">
        <f t="shared" si="20"/>
        <v>0</v>
      </c>
      <c r="H111" s="38">
        <f t="shared" si="20"/>
        <v>0</v>
      </c>
      <c r="I111" s="38">
        <f t="shared" si="20"/>
        <v>45000</v>
      </c>
      <c r="J111" s="38">
        <f t="shared" si="20"/>
        <v>0</v>
      </c>
      <c r="K111" s="38">
        <f t="shared" si="20"/>
        <v>206622</v>
      </c>
    </row>
    <row r="112" spans="1:11" ht="12.75">
      <c r="A112" s="41"/>
      <c r="B112" s="42"/>
      <c r="C112" s="24"/>
      <c r="D112" s="29"/>
      <c r="E112" s="31"/>
      <c r="F112" s="24"/>
      <c r="G112" s="31"/>
      <c r="H112" s="33"/>
      <c r="I112" s="93"/>
      <c r="J112" s="123"/>
      <c r="K112" s="25"/>
    </row>
    <row r="113" spans="1:11" ht="13.5" thickBot="1">
      <c r="A113" s="41"/>
      <c r="B113" s="42"/>
      <c r="C113" s="24"/>
      <c r="D113" s="29"/>
      <c r="E113" s="31"/>
      <c r="F113" s="24"/>
      <c r="G113" s="31"/>
      <c r="H113" s="24"/>
      <c r="I113" s="93"/>
      <c r="J113" s="123"/>
      <c r="K113" s="25"/>
    </row>
    <row r="114" spans="1:11" s="256" customFormat="1" ht="13.5" thickBot="1">
      <c r="A114" s="43" t="s">
        <v>47</v>
      </c>
      <c r="B114" s="44" t="s">
        <v>164</v>
      </c>
      <c r="C114" s="38">
        <v>671379</v>
      </c>
      <c r="D114" s="38">
        <v>648379</v>
      </c>
      <c r="E114" s="218">
        <v>-1912</v>
      </c>
      <c r="F114" s="38">
        <v>0</v>
      </c>
      <c r="G114" s="218">
        <f>1380+4863+19367+5194+38245+55160+166259</f>
        <v>290468</v>
      </c>
      <c r="H114" s="38">
        <v>0</v>
      </c>
      <c r="I114" s="218">
        <f>-2000+300+25000+6400-29911+600+5400</f>
        <v>5789</v>
      </c>
      <c r="J114" s="38">
        <v>0</v>
      </c>
      <c r="K114" s="38">
        <f>SUM(D114:J114)</f>
        <v>942724</v>
      </c>
    </row>
    <row r="115" spans="1:11" s="256" customFormat="1" ht="12.75">
      <c r="A115" s="224"/>
      <c r="B115" s="225"/>
      <c r="C115" s="124"/>
      <c r="D115" s="96"/>
      <c r="E115" s="79"/>
      <c r="F115" s="124"/>
      <c r="G115" s="79"/>
      <c r="H115" s="124"/>
      <c r="I115" s="79"/>
      <c r="J115" s="124"/>
      <c r="K115" s="96"/>
    </row>
    <row r="116" spans="1:11" s="256" customFormat="1" ht="13.5" thickBot="1">
      <c r="A116" s="224"/>
      <c r="B116" s="225"/>
      <c r="C116" s="124"/>
      <c r="D116" s="96"/>
      <c r="E116" s="79"/>
      <c r="F116" s="124"/>
      <c r="G116" s="79"/>
      <c r="H116" s="124"/>
      <c r="I116" s="79"/>
      <c r="J116" s="124"/>
      <c r="K116" s="96"/>
    </row>
    <row r="117" spans="1:11" s="256" customFormat="1" ht="13.5" thickBot="1">
      <c r="A117" s="43" t="s">
        <v>268</v>
      </c>
      <c r="B117" s="44" t="s">
        <v>269</v>
      </c>
      <c r="C117" s="38">
        <v>0</v>
      </c>
      <c r="D117" s="39">
        <v>0</v>
      </c>
      <c r="E117" s="218">
        <v>0</v>
      </c>
      <c r="F117" s="38">
        <v>0</v>
      </c>
      <c r="G117" s="218">
        <v>0</v>
      </c>
      <c r="H117" s="38">
        <v>0</v>
      </c>
      <c r="I117" s="218">
        <v>0</v>
      </c>
      <c r="J117" s="38">
        <v>0</v>
      </c>
      <c r="K117" s="39">
        <v>0</v>
      </c>
    </row>
    <row r="118" spans="1:11" s="256" customFormat="1" ht="12.75">
      <c r="A118" s="224"/>
      <c r="B118" s="225"/>
      <c r="C118" s="124"/>
      <c r="D118" s="96"/>
      <c r="E118" s="79"/>
      <c r="F118" s="124"/>
      <c r="G118" s="79"/>
      <c r="H118" s="124"/>
      <c r="I118" s="79"/>
      <c r="J118" s="124"/>
      <c r="K118" s="96"/>
    </row>
    <row r="119" spans="1:11" s="22" customFormat="1" ht="13.5" thickBot="1">
      <c r="A119" s="224"/>
      <c r="B119" s="225"/>
      <c r="C119" s="116"/>
      <c r="D119" s="59"/>
      <c r="E119" s="94"/>
      <c r="F119" s="116"/>
      <c r="G119" s="94"/>
      <c r="H119" s="116"/>
      <c r="I119" s="94"/>
      <c r="J119" s="116"/>
      <c r="K119" s="96"/>
    </row>
    <row r="120" spans="1:11" s="10" customFormat="1" ht="13.5" thickBot="1">
      <c r="A120" s="43" t="s">
        <v>175</v>
      </c>
      <c r="B120" s="39" t="s">
        <v>59</v>
      </c>
      <c r="C120" s="38">
        <f>SUM(C61+C99+C107+C114+C117)</f>
        <v>3164228</v>
      </c>
      <c r="D120" s="38">
        <f aca="true" t="shared" si="21" ref="D120:I120">SUM(D61+D99+D107+D111+D114)</f>
        <v>3306269</v>
      </c>
      <c r="E120" s="38">
        <f t="shared" si="21"/>
        <v>-9749</v>
      </c>
      <c r="F120" s="38">
        <f t="shared" si="21"/>
        <v>0</v>
      </c>
      <c r="G120" s="38">
        <f t="shared" si="21"/>
        <v>403505</v>
      </c>
      <c r="H120" s="38">
        <f t="shared" si="21"/>
        <v>0</v>
      </c>
      <c r="I120" s="38">
        <f t="shared" si="21"/>
        <v>343573</v>
      </c>
      <c r="J120" s="38">
        <f>SUM(J61+J99+J107+J111+J114)</f>
        <v>0</v>
      </c>
      <c r="K120" s="38">
        <f>SUM(K61+K99+K107+K111+K114+K117)-1</f>
        <v>4043599</v>
      </c>
    </row>
    <row r="121" ht="12.75">
      <c r="A121" s="50"/>
    </row>
    <row r="122" ht="12.75">
      <c r="A122" s="50"/>
    </row>
    <row r="123" ht="12.75">
      <c r="A123" s="50"/>
    </row>
    <row r="124" ht="13.5" thickBot="1">
      <c r="A124" s="50"/>
    </row>
    <row r="125" spans="1:11" s="11" customFormat="1" ht="13.5" thickBot="1">
      <c r="A125" s="267" t="s">
        <v>68</v>
      </c>
      <c r="B125" s="268"/>
      <c r="C125" s="218">
        <v>3164228</v>
      </c>
      <c r="D125" s="218">
        <v>3306269</v>
      </c>
      <c r="E125" s="218">
        <v>-9749</v>
      </c>
      <c r="F125" s="218">
        <v>0</v>
      </c>
      <c r="G125" s="218">
        <v>403505</v>
      </c>
      <c r="H125" s="218">
        <v>0</v>
      </c>
      <c r="I125" s="218">
        <v>343601</v>
      </c>
      <c r="J125" s="218"/>
      <c r="K125" s="39">
        <v>4043599</v>
      </c>
    </row>
    <row r="127" spans="1:11" ht="12.75">
      <c r="A127" s="263"/>
      <c r="B127" s="264"/>
      <c r="C127" s="265"/>
      <c r="D127" s="265"/>
      <c r="E127" s="265"/>
      <c r="F127" s="265"/>
      <c r="G127" s="265"/>
      <c r="H127" s="265"/>
      <c r="I127" s="265"/>
      <c r="J127" s="265"/>
      <c r="K127" s="266"/>
    </row>
    <row r="128" ht="12.75">
      <c r="C128" s="16"/>
    </row>
    <row r="129" ht="12.75">
      <c r="K129" s="16">
        <f>SUM(K120-K125)</f>
        <v>0</v>
      </c>
    </row>
  </sheetData>
  <sheetProtection/>
  <printOptions/>
  <pageMargins left="0.7" right="0.7" top="0.75" bottom="0.75" header="0.3" footer="0.3"/>
  <pageSetup fitToHeight="2" fitToWidth="1" horizontalDpi="600" verticalDpi="600" orientation="landscape" scale="53" r:id="rId1"/>
  <headerFooter>
    <oddHeader xml:space="preserve">&amp;CFY 2009/2011
DD-1416
PROCUREMENT,
DEFENSE-WIDE
As of 31March 2010
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5"/>
  <sheetViews>
    <sheetView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A3" sqref="A3"/>
    </sheetView>
  </sheetViews>
  <sheetFormatPr defaultColWidth="9.140625" defaultRowHeight="12.75"/>
  <cols>
    <col min="1" max="1" width="51.140625" style="12" customWidth="1"/>
    <col min="2" max="2" width="56.7109375" style="27" customWidth="1"/>
    <col min="3" max="3" width="12.421875" style="27" customWidth="1"/>
    <col min="4" max="4" width="14.57421875" style="27" customWidth="1"/>
    <col min="5" max="5" width="15.8515625" style="27" customWidth="1"/>
    <col min="6" max="6" width="14.7109375" style="27" customWidth="1"/>
    <col min="7" max="7" width="12.7109375" style="27" customWidth="1"/>
    <col min="8" max="8" width="14.7109375" style="27" customWidth="1"/>
    <col min="9" max="9" width="14.140625" style="21" customWidth="1"/>
    <col min="10" max="10" width="14.28125" style="21" customWidth="1"/>
    <col min="11" max="11" width="11.57421875" style="16" customWidth="1"/>
    <col min="12" max="12" width="9.140625" style="27" customWidth="1"/>
    <col min="13" max="13" width="9.7109375" style="27" bestFit="1" customWidth="1"/>
    <col min="14" max="16384" width="9.140625" style="27" customWidth="1"/>
  </cols>
  <sheetData>
    <row r="2" spans="4:10" ht="12.75">
      <c r="D2" s="227"/>
      <c r="H2" s="227"/>
      <c r="J2" s="249"/>
    </row>
    <row r="3" spans="2:10" ht="12.75">
      <c r="B3" s="21"/>
      <c r="D3" s="227"/>
      <c r="E3" s="69"/>
      <c r="H3" s="227"/>
      <c r="J3" s="249"/>
    </row>
    <row r="4" spans="4:10" ht="13.5" thickBot="1">
      <c r="D4" s="227"/>
      <c r="E4" s="112"/>
      <c r="G4" s="227"/>
      <c r="H4" s="227"/>
      <c r="I4" s="249"/>
      <c r="J4" s="249"/>
    </row>
    <row r="5" spans="1:11" ht="51" customHeight="1" thickBot="1">
      <c r="A5" s="48" t="s">
        <v>165</v>
      </c>
      <c r="B5" s="47" t="s">
        <v>166</v>
      </c>
      <c r="C5" s="53" t="s">
        <v>50</v>
      </c>
      <c r="D5" s="55" t="s">
        <v>51</v>
      </c>
      <c r="E5" s="53" t="s">
        <v>52</v>
      </c>
      <c r="F5" s="54" t="s">
        <v>53</v>
      </c>
      <c r="G5" s="54" t="s">
        <v>54</v>
      </c>
      <c r="H5" s="54" t="s">
        <v>55</v>
      </c>
      <c r="I5" s="54" t="s">
        <v>56</v>
      </c>
      <c r="J5" s="54" t="s">
        <v>57</v>
      </c>
      <c r="K5" s="219" t="s">
        <v>58</v>
      </c>
    </row>
    <row r="6" spans="1:11" ht="12.75">
      <c r="A6" s="244"/>
      <c r="B6" s="29"/>
      <c r="C6" s="30"/>
      <c r="D6" s="29"/>
      <c r="E6" s="31"/>
      <c r="F6" s="30"/>
      <c r="G6" s="31"/>
      <c r="H6" s="30"/>
      <c r="I6" s="93"/>
      <c r="J6" s="122"/>
      <c r="K6" s="25"/>
    </row>
    <row r="7" spans="1:11" ht="12.75">
      <c r="A7" s="50"/>
      <c r="B7" s="32"/>
      <c r="C7" s="33"/>
      <c r="D7" s="29"/>
      <c r="E7" s="31"/>
      <c r="F7" s="33"/>
      <c r="G7" s="31"/>
      <c r="H7" s="33"/>
      <c r="I7" s="93"/>
      <c r="J7" s="123"/>
      <c r="K7" s="25"/>
    </row>
    <row r="8" spans="1:11" ht="12.75">
      <c r="A8" s="50" t="s">
        <v>63</v>
      </c>
      <c r="B8" s="7" t="s">
        <v>12</v>
      </c>
      <c r="C8" s="24">
        <v>105946</v>
      </c>
      <c r="D8" s="25">
        <v>105946</v>
      </c>
      <c r="E8" s="26">
        <v>-312</v>
      </c>
      <c r="F8" s="24">
        <v>0</v>
      </c>
      <c r="G8" s="26">
        <v>0</v>
      </c>
      <c r="H8" s="24">
        <v>0</v>
      </c>
      <c r="I8" s="94">
        <f>-2273-27</f>
        <v>-2300</v>
      </c>
      <c r="J8" s="116">
        <v>0</v>
      </c>
      <c r="K8" s="25">
        <f>SUM(D8:J8)</f>
        <v>103334</v>
      </c>
    </row>
    <row r="9" spans="1:11" s="11" customFormat="1" ht="12.75">
      <c r="A9" s="257"/>
      <c r="B9" s="258" t="s">
        <v>113</v>
      </c>
      <c r="C9" s="260">
        <f aca="true" t="shared" si="0" ref="C9:I9">SUM(C8)</f>
        <v>105946</v>
      </c>
      <c r="D9" s="260">
        <f t="shared" si="0"/>
        <v>105946</v>
      </c>
      <c r="E9" s="260">
        <f t="shared" si="0"/>
        <v>-312</v>
      </c>
      <c r="F9" s="260">
        <f t="shared" si="0"/>
        <v>0</v>
      </c>
      <c r="G9" s="260">
        <f t="shared" si="0"/>
        <v>0</v>
      </c>
      <c r="H9" s="260">
        <f t="shared" si="0"/>
        <v>0</v>
      </c>
      <c r="I9" s="260">
        <f t="shared" si="0"/>
        <v>-2300</v>
      </c>
      <c r="J9" s="260">
        <f>SUM(J8:J8)</f>
        <v>0</v>
      </c>
      <c r="K9" s="260">
        <f>SUM(K8:K8)</f>
        <v>103334</v>
      </c>
    </row>
    <row r="10" spans="1:11" ht="12.75">
      <c r="A10" s="50"/>
      <c r="B10" s="23"/>
      <c r="C10" s="24"/>
      <c r="D10" s="25"/>
      <c r="E10" s="26"/>
      <c r="F10" s="24"/>
      <c r="G10" s="26"/>
      <c r="H10" s="24"/>
      <c r="I10" s="94"/>
      <c r="J10" s="116"/>
      <c r="K10" s="25"/>
    </row>
    <row r="11" spans="1:11" ht="12.75">
      <c r="A11" s="50" t="s">
        <v>65</v>
      </c>
      <c r="B11" t="s">
        <v>116</v>
      </c>
      <c r="C11" s="24">
        <f>SUM('FY 09-11 DD 1416 Tracker-Total'!P18)</f>
        <v>0</v>
      </c>
      <c r="D11" s="25">
        <f>SUM('FY 09-11 DD 1416 Tracker-Total'!J18)</f>
        <v>0</v>
      </c>
      <c r="E11" s="26">
        <f>SUM('FY 09-11 DD 1416 Tracker-Total'!M18)</f>
        <v>0</v>
      </c>
      <c r="F11" s="24">
        <v>0</v>
      </c>
      <c r="G11" s="26">
        <v>0</v>
      </c>
      <c r="H11" s="24">
        <v>0</v>
      </c>
      <c r="I11" s="94">
        <v>0</v>
      </c>
      <c r="J11" s="116">
        <v>0</v>
      </c>
      <c r="K11" s="59">
        <f>SUM(D11:J11)</f>
        <v>0</v>
      </c>
    </row>
    <row r="12" spans="1:11" ht="12.75">
      <c r="A12" s="50"/>
      <c r="B12" t="s">
        <v>12</v>
      </c>
      <c r="C12" s="24">
        <v>26649</v>
      </c>
      <c r="D12" s="25">
        <v>26649</v>
      </c>
      <c r="E12" s="26">
        <v>-79</v>
      </c>
      <c r="F12" s="24">
        <v>0</v>
      </c>
      <c r="G12" s="26">
        <v>0</v>
      </c>
      <c r="H12" s="24">
        <v>0</v>
      </c>
      <c r="I12" s="94">
        <v>0</v>
      </c>
      <c r="J12" s="116">
        <v>0</v>
      </c>
      <c r="K12" s="59">
        <f>SUM(D12:J12)</f>
        <v>26570</v>
      </c>
    </row>
    <row r="13" spans="1:11" s="11" customFormat="1" ht="12.75">
      <c r="A13" s="257"/>
      <c r="B13" s="259" t="s">
        <v>49</v>
      </c>
      <c r="C13" s="260">
        <f>SUM(C11:C12)</f>
        <v>26649</v>
      </c>
      <c r="D13" s="260">
        <f aca="true" t="shared" si="1" ref="D13:K13">SUM(D11:D12)</f>
        <v>26649</v>
      </c>
      <c r="E13" s="260">
        <f t="shared" si="1"/>
        <v>-79</v>
      </c>
      <c r="F13" s="260">
        <f t="shared" si="1"/>
        <v>0</v>
      </c>
      <c r="G13" s="260">
        <f t="shared" si="1"/>
        <v>0</v>
      </c>
      <c r="H13" s="260">
        <f t="shared" si="1"/>
        <v>0</v>
      </c>
      <c r="I13" s="260">
        <f t="shared" si="1"/>
        <v>0</v>
      </c>
      <c r="J13" s="260">
        <f t="shared" si="1"/>
        <v>0</v>
      </c>
      <c r="K13" s="260">
        <f t="shared" si="1"/>
        <v>26570</v>
      </c>
    </row>
    <row r="14" spans="1:11" ht="12.75">
      <c r="A14" s="50"/>
      <c r="B14" s="23"/>
      <c r="C14" s="24"/>
      <c r="D14" s="25"/>
      <c r="E14" s="26"/>
      <c r="F14" s="24"/>
      <c r="G14" s="26"/>
      <c r="H14" s="24"/>
      <c r="I14" s="94"/>
      <c r="J14" s="116"/>
      <c r="K14" s="25"/>
    </row>
    <row r="15" spans="1:11" ht="12.75">
      <c r="A15" s="50" t="s">
        <v>167</v>
      </c>
      <c r="B15" s="3" t="s">
        <v>6</v>
      </c>
      <c r="C15" s="24">
        <v>54934</v>
      </c>
      <c r="D15" s="25">
        <v>48734</v>
      </c>
      <c r="E15" s="26">
        <v>-144</v>
      </c>
      <c r="F15" s="24">
        <v>0</v>
      </c>
      <c r="G15" s="24">
        <v>0</v>
      </c>
      <c r="H15" s="24">
        <v>0</v>
      </c>
      <c r="I15" s="24">
        <v>0</v>
      </c>
      <c r="J15" s="24">
        <f>-1304+595-3000+396+1980</f>
        <v>-1333</v>
      </c>
      <c r="K15" s="59">
        <f>SUM(D15:J15)</f>
        <v>47257</v>
      </c>
    </row>
    <row r="16" spans="1:11" ht="12.75">
      <c r="A16" s="50"/>
      <c r="B16" s="3" t="s">
        <v>248</v>
      </c>
      <c r="C16" s="24">
        <v>10973</v>
      </c>
      <c r="D16" s="25">
        <v>10973</v>
      </c>
      <c r="E16" s="26">
        <v>-32</v>
      </c>
      <c r="F16" s="24">
        <v>0</v>
      </c>
      <c r="G16" s="24">
        <v>0</v>
      </c>
      <c r="H16" s="24">
        <v>0</v>
      </c>
      <c r="I16" s="24"/>
      <c r="J16" s="24">
        <f>-1900-251</f>
        <v>-2151</v>
      </c>
      <c r="K16" s="59">
        <f aca="true" t="shared" si="2" ref="K16:K25">SUM(D16:J16)</f>
        <v>8790</v>
      </c>
    </row>
    <row r="17" spans="1:11" ht="12.75">
      <c r="A17" s="50"/>
      <c r="B17" s="3" t="s">
        <v>7</v>
      </c>
      <c r="C17" s="24">
        <v>2788</v>
      </c>
      <c r="D17" s="25">
        <v>2788</v>
      </c>
      <c r="E17" s="26">
        <v>-8</v>
      </c>
      <c r="F17" s="24">
        <v>0</v>
      </c>
      <c r="G17" s="24">
        <v>0</v>
      </c>
      <c r="H17" s="24">
        <v>0</v>
      </c>
      <c r="I17" s="24">
        <v>200</v>
      </c>
      <c r="J17" s="24">
        <v>-111</v>
      </c>
      <c r="K17" s="59">
        <f t="shared" si="2"/>
        <v>2869</v>
      </c>
    </row>
    <row r="18" spans="1:11" ht="12.75">
      <c r="A18" s="50"/>
      <c r="B18" s="3" t="s">
        <v>8</v>
      </c>
      <c r="C18" s="24">
        <v>15062</v>
      </c>
      <c r="D18" s="25">
        <v>15062</v>
      </c>
      <c r="E18" s="26">
        <v>-44</v>
      </c>
      <c r="F18" s="24">
        <v>0</v>
      </c>
      <c r="G18" s="24">
        <v>0</v>
      </c>
      <c r="H18" s="24">
        <v>0</v>
      </c>
      <c r="I18" s="24">
        <v>0</v>
      </c>
      <c r="J18" s="24">
        <f>400+529-363</f>
        <v>566</v>
      </c>
      <c r="K18" s="59">
        <f t="shared" si="2"/>
        <v>15584</v>
      </c>
    </row>
    <row r="19" spans="1:11" ht="12.75">
      <c r="A19" s="50"/>
      <c r="B19" s="3" t="s">
        <v>9</v>
      </c>
      <c r="C19" s="24">
        <v>121296</v>
      </c>
      <c r="D19" s="25">
        <v>111296</v>
      </c>
      <c r="E19" s="26">
        <v>-328</v>
      </c>
      <c r="F19" s="24">
        <v>0</v>
      </c>
      <c r="G19" s="24">
        <v>0</v>
      </c>
      <c r="H19" s="24">
        <v>0</v>
      </c>
      <c r="I19" s="24">
        <v>0</v>
      </c>
      <c r="J19" s="24">
        <f>3243+1200+9560-925-1271</f>
        <v>11807</v>
      </c>
      <c r="K19" s="59">
        <f t="shared" si="2"/>
        <v>122775</v>
      </c>
    </row>
    <row r="20" spans="1:11" ht="12.75">
      <c r="A20" s="50"/>
      <c r="B20" s="3" t="s">
        <v>10</v>
      </c>
      <c r="C20" s="24">
        <v>36765</v>
      </c>
      <c r="D20" s="25">
        <v>36765</v>
      </c>
      <c r="E20" s="26">
        <v>-108</v>
      </c>
      <c r="F20" s="24">
        <v>0</v>
      </c>
      <c r="G20" s="24">
        <v>0</v>
      </c>
      <c r="H20" s="24">
        <v>0</v>
      </c>
      <c r="I20" s="24">
        <v>0</v>
      </c>
      <c r="J20" s="24">
        <f>-5958-1373</f>
        <v>-7331</v>
      </c>
      <c r="K20" s="59">
        <f t="shared" si="2"/>
        <v>29326</v>
      </c>
    </row>
    <row r="21" spans="1:11" ht="12.75">
      <c r="A21" s="50"/>
      <c r="B21" s="3" t="s">
        <v>197</v>
      </c>
      <c r="C21" s="24">
        <v>90328</v>
      </c>
      <c r="D21" s="25">
        <v>90328</v>
      </c>
      <c r="E21" s="26">
        <v>-266</v>
      </c>
      <c r="F21" s="24">
        <v>0</v>
      </c>
      <c r="G21" s="24">
        <v>0</v>
      </c>
      <c r="H21" s="24">
        <v>0</v>
      </c>
      <c r="I21" s="24">
        <v>0</v>
      </c>
      <c r="J21" s="24">
        <f>4319-595-6499+1729</f>
        <v>-1046</v>
      </c>
      <c r="K21" s="59">
        <f t="shared" si="2"/>
        <v>89016</v>
      </c>
    </row>
    <row r="22" spans="1:11" ht="12.75">
      <c r="A22" s="50"/>
      <c r="B22" s="3" t="s">
        <v>203</v>
      </c>
      <c r="C22" s="24">
        <v>1895</v>
      </c>
      <c r="D22" s="25">
        <v>1894</v>
      </c>
      <c r="E22" s="26">
        <v>-6</v>
      </c>
      <c r="F22" s="24">
        <v>0</v>
      </c>
      <c r="G22" s="24">
        <v>0</v>
      </c>
      <c r="H22" s="24">
        <v>0</v>
      </c>
      <c r="I22" s="24">
        <v>0</v>
      </c>
      <c r="J22" s="24">
        <f>0-60</f>
        <v>-60</v>
      </c>
      <c r="K22" s="59">
        <f t="shared" si="2"/>
        <v>1828</v>
      </c>
    </row>
    <row r="23" spans="1:11" ht="12.75">
      <c r="A23" s="50"/>
      <c r="B23" s="117" t="s">
        <v>184</v>
      </c>
      <c r="C23" s="24">
        <v>0</v>
      </c>
      <c r="D23" s="25">
        <v>0</v>
      </c>
      <c r="E23" s="26">
        <v>0</v>
      </c>
      <c r="F23" s="24">
        <v>0</v>
      </c>
      <c r="G23" s="24">
        <v>0</v>
      </c>
      <c r="H23" s="24">
        <v>0</v>
      </c>
      <c r="I23" s="24">
        <v>1316</v>
      </c>
      <c r="J23" s="24">
        <v>0</v>
      </c>
      <c r="K23" s="59">
        <f t="shared" si="2"/>
        <v>1316</v>
      </c>
    </row>
    <row r="24" spans="1:11" ht="12.75">
      <c r="A24" s="50"/>
      <c r="B24" s="117" t="s">
        <v>212</v>
      </c>
      <c r="C24" s="24">
        <v>7952</v>
      </c>
      <c r="D24" s="25">
        <v>4000</v>
      </c>
      <c r="E24" s="26">
        <v>-12</v>
      </c>
      <c r="F24" s="24">
        <v>0</v>
      </c>
      <c r="G24" s="24">
        <v>0</v>
      </c>
      <c r="H24" s="24">
        <v>0</v>
      </c>
      <c r="I24" s="24">
        <v>0</v>
      </c>
      <c r="J24" s="24">
        <f>0-61-280</f>
        <v>-341</v>
      </c>
      <c r="K24" s="59">
        <f t="shared" si="2"/>
        <v>3647</v>
      </c>
    </row>
    <row r="25" spans="1:11" ht="12.75">
      <c r="A25" s="50"/>
      <c r="B25" s="117" t="s">
        <v>213</v>
      </c>
      <c r="C25" s="24">
        <v>19100</v>
      </c>
      <c r="D25" s="25">
        <v>19100</v>
      </c>
      <c r="E25" s="26">
        <v>-56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59">
        <f t="shared" si="2"/>
        <v>19044</v>
      </c>
    </row>
    <row r="26" spans="1:11" s="11" customFormat="1" ht="12.75">
      <c r="A26" s="257"/>
      <c r="B26" s="259" t="s">
        <v>67</v>
      </c>
      <c r="C26" s="260">
        <f>SUM(C15:C25)-1</f>
        <v>361092</v>
      </c>
      <c r="D26" s="260">
        <f aca="true" t="shared" si="3" ref="D26:K26">SUM(D15:D25)</f>
        <v>340940</v>
      </c>
      <c r="E26" s="261">
        <f t="shared" si="3"/>
        <v>-1004</v>
      </c>
      <c r="F26" s="260">
        <f t="shared" si="3"/>
        <v>0</v>
      </c>
      <c r="G26" s="262">
        <f t="shared" si="3"/>
        <v>0</v>
      </c>
      <c r="H26" s="260">
        <f t="shared" si="3"/>
        <v>0</v>
      </c>
      <c r="I26" s="260">
        <f t="shared" si="3"/>
        <v>1516</v>
      </c>
      <c r="J26" s="260">
        <f t="shared" si="3"/>
        <v>0</v>
      </c>
      <c r="K26" s="260">
        <f t="shared" si="3"/>
        <v>341452</v>
      </c>
    </row>
    <row r="27" spans="1:11" ht="12.75">
      <c r="A27" s="50"/>
      <c r="B27" s="23"/>
      <c r="C27" s="24"/>
      <c r="D27" s="25"/>
      <c r="E27" s="26"/>
      <c r="F27" s="24"/>
      <c r="G27" s="26"/>
      <c r="H27" s="24"/>
      <c r="I27" s="94"/>
      <c r="J27" s="116"/>
      <c r="K27" s="25"/>
    </row>
    <row r="28" spans="1:11" ht="12.75">
      <c r="A28" s="50" t="s">
        <v>61</v>
      </c>
      <c r="B28" t="s">
        <v>12</v>
      </c>
      <c r="C28" s="24">
        <v>8789</v>
      </c>
      <c r="D28" s="25">
        <v>8789</v>
      </c>
      <c r="E28" s="26">
        <v>-26</v>
      </c>
      <c r="F28" s="24">
        <v>0</v>
      </c>
      <c r="G28" s="26">
        <v>0</v>
      </c>
      <c r="H28" s="24">
        <v>0</v>
      </c>
      <c r="I28" s="94">
        <v>0</v>
      </c>
      <c r="J28" s="116">
        <v>0</v>
      </c>
      <c r="K28" s="59">
        <f>SUM(D28:J28)</f>
        <v>8763</v>
      </c>
    </row>
    <row r="29" spans="1:11" ht="12.75">
      <c r="A29" s="257"/>
      <c r="B29" s="259" t="s">
        <v>117</v>
      </c>
      <c r="C29" s="260">
        <f>SUM(C28)</f>
        <v>8789</v>
      </c>
      <c r="D29" s="260">
        <f aca="true" t="shared" si="4" ref="D29:K29">SUM(D28)</f>
        <v>8789</v>
      </c>
      <c r="E29" s="260">
        <f t="shared" si="4"/>
        <v>-26</v>
      </c>
      <c r="F29" s="260">
        <f t="shared" si="4"/>
        <v>0</v>
      </c>
      <c r="G29" s="260">
        <f t="shared" si="4"/>
        <v>0</v>
      </c>
      <c r="H29" s="260">
        <f t="shared" si="4"/>
        <v>0</v>
      </c>
      <c r="I29" s="260">
        <f t="shared" si="4"/>
        <v>0</v>
      </c>
      <c r="J29" s="260">
        <f t="shared" si="4"/>
        <v>0</v>
      </c>
      <c r="K29" s="260">
        <f t="shared" si="4"/>
        <v>8763</v>
      </c>
    </row>
    <row r="30" spans="1:11" ht="12.75">
      <c r="A30" s="50"/>
      <c r="B30" s="34"/>
      <c r="C30" s="24"/>
      <c r="D30" s="25"/>
      <c r="E30" s="26"/>
      <c r="F30" s="24"/>
      <c r="G30" s="26"/>
      <c r="H30" s="24"/>
      <c r="I30" s="94"/>
      <c r="J30" s="116"/>
      <c r="K30" s="25"/>
    </row>
    <row r="31" spans="1:11" ht="12.75">
      <c r="A31" s="50" t="s">
        <v>60</v>
      </c>
      <c r="B31" t="s">
        <v>118</v>
      </c>
      <c r="C31" s="24">
        <v>1523</v>
      </c>
      <c r="D31" s="25">
        <v>3923</v>
      </c>
      <c r="E31" s="26">
        <v>-12</v>
      </c>
      <c r="F31" s="24">
        <v>0</v>
      </c>
      <c r="G31" s="26">
        <v>0</v>
      </c>
      <c r="H31" s="24">
        <v>0</v>
      </c>
      <c r="I31" s="94">
        <v>-2400</v>
      </c>
      <c r="J31" s="116">
        <v>0</v>
      </c>
      <c r="K31" s="59">
        <f>SUM(D31:J31)</f>
        <v>1511</v>
      </c>
    </row>
    <row r="32" spans="1:11" s="11" customFormat="1" ht="12.75">
      <c r="A32" s="257"/>
      <c r="B32" s="259" t="s">
        <v>119</v>
      </c>
      <c r="C32" s="260">
        <f>SUM(C31)</f>
        <v>1523</v>
      </c>
      <c r="D32" s="260">
        <f aca="true" t="shared" si="5" ref="D32:K32">SUM(D31)</f>
        <v>3923</v>
      </c>
      <c r="E32" s="260">
        <f t="shared" si="5"/>
        <v>-12</v>
      </c>
      <c r="F32" s="260">
        <f t="shared" si="5"/>
        <v>0</v>
      </c>
      <c r="G32" s="260">
        <f t="shared" si="5"/>
        <v>0</v>
      </c>
      <c r="H32" s="260">
        <f t="shared" si="5"/>
        <v>0</v>
      </c>
      <c r="I32" s="260">
        <f t="shared" si="5"/>
        <v>-2400</v>
      </c>
      <c r="J32" s="260">
        <f t="shared" si="5"/>
        <v>0</v>
      </c>
      <c r="K32" s="260">
        <f t="shared" si="5"/>
        <v>1511</v>
      </c>
    </row>
    <row r="33" spans="1:11" ht="12.75">
      <c r="A33" s="50"/>
      <c r="B33" s="34"/>
      <c r="C33" s="24"/>
      <c r="D33" s="25"/>
      <c r="E33" s="26"/>
      <c r="F33" s="24"/>
      <c r="G33" s="26"/>
      <c r="H33" s="24"/>
      <c r="I33" s="94"/>
      <c r="J33" s="116"/>
      <c r="K33" s="25"/>
    </row>
    <row r="34" spans="1:11" ht="12.75">
      <c r="A34" s="50" t="s">
        <v>64</v>
      </c>
      <c r="B34" t="s">
        <v>12</v>
      </c>
      <c r="C34" s="24">
        <v>25897</v>
      </c>
      <c r="D34" s="25">
        <v>25897</v>
      </c>
      <c r="E34" s="26">
        <v>-86</v>
      </c>
      <c r="F34" s="24">
        <v>0</v>
      </c>
      <c r="G34" s="26">
        <v>0</v>
      </c>
      <c r="H34" s="24">
        <v>0</v>
      </c>
      <c r="I34" s="94">
        <f>-276-1</f>
        <v>-277</v>
      </c>
      <c r="J34" s="116">
        <v>0</v>
      </c>
      <c r="K34" s="59">
        <f>SUM(D34:J34)+2-1</f>
        <v>25535</v>
      </c>
    </row>
    <row r="35" spans="1:11" s="11" customFormat="1" ht="12.75">
      <c r="A35" s="257"/>
      <c r="B35" s="259" t="s">
        <v>121</v>
      </c>
      <c r="C35" s="260">
        <f>SUM(C34)</f>
        <v>25897</v>
      </c>
      <c r="D35" s="260">
        <f aca="true" t="shared" si="6" ref="D35:K35">SUM(D34)</f>
        <v>25897</v>
      </c>
      <c r="E35" s="260">
        <f t="shared" si="6"/>
        <v>-86</v>
      </c>
      <c r="F35" s="260">
        <f t="shared" si="6"/>
        <v>0</v>
      </c>
      <c r="G35" s="260">
        <f t="shared" si="6"/>
        <v>0</v>
      </c>
      <c r="H35" s="260">
        <f t="shared" si="6"/>
        <v>0</v>
      </c>
      <c r="I35" s="260">
        <f t="shared" si="6"/>
        <v>-277</v>
      </c>
      <c r="J35" s="260">
        <f t="shared" si="6"/>
        <v>0</v>
      </c>
      <c r="K35" s="260">
        <f t="shared" si="6"/>
        <v>25535</v>
      </c>
    </row>
    <row r="36" spans="1:11" ht="12.75">
      <c r="A36" s="50"/>
      <c r="B36" s="34"/>
      <c r="C36" s="24"/>
      <c r="D36" s="25"/>
      <c r="E36" s="26"/>
      <c r="F36" s="24"/>
      <c r="G36" s="26"/>
      <c r="H36" s="24"/>
      <c r="I36" s="94"/>
      <c r="J36" s="116"/>
      <c r="K36" s="25"/>
    </row>
    <row r="37" spans="1:11" ht="12.75">
      <c r="A37" s="50" t="s">
        <v>168</v>
      </c>
      <c r="B37" t="s">
        <v>15</v>
      </c>
      <c r="C37" s="24">
        <v>19214</v>
      </c>
      <c r="D37" s="25">
        <v>10014</v>
      </c>
      <c r="E37" s="26">
        <v>-30</v>
      </c>
      <c r="F37" s="24">
        <v>0</v>
      </c>
      <c r="G37" s="26">
        <v>0</v>
      </c>
      <c r="H37" s="24">
        <v>0</v>
      </c>
      <c r="I37" s="94">
        <v>0</v>
      </c>
      <c r="J37" s="116">
        <v>0</v>
      </c>
      <c r="K37" s="59">
        <f>SUM(D37:J37)</f>
        <v>9984</v>
      </c>
    </row>
    <row r="38" spans="1:11" s="11" customFormat="1" ht="12.75">
      <c r="A38" s="257"/>
      <c r="B38" s="259" t="s">
        <v>122</v>
      </c>
      <c r="C38" s="260">
        <f>SUM(C37)</f>
        <v>19214</v>
      </c>
      <c r="D38" s="260">
        <f aca="true" t="shared" si="7" ref="D38:K38">SUM(D37)</f>
        <v>10014</v>
      </c>
      <c r="E38" s="260">
        <f t="shared" si="7"/>
        <v>-30</v>
      </c>
      <c r="F38" s="260">
        <f t="shared" si="7"/>
        <v>0</v>
      </c>
      <c r="G38" s="260">
        <f t="shared" si="7"/>
        <v>0</v>
      </c>
      <c r="H38" s="260">
        <f t="shared" si="7"/>
        <v>0</v>
      </c>
      <c r="I38" s="260">
        <f t="shared" si="7"/>
        <v>0</v>
      </c>
      <c r="J38" s="260">
        <f t="shared" si="7"/>
        <v>0</v>
      </c>
      <c r="K38" s="260">
        <f t="shared" si="7"/>
        <v>9984</v>
      </c>
    </row>
    <row r="39" spans="1:11" ht="12.75">
      <c r="A39" s="50"/>
      <c r="B39" s="35"/>
      <c r="C39" s="24"/>
      <c r="D39" s="25"/>
      <c r="E39" s="26"/>
      <c r="F39" s="24"/>
      <c r="G39" s="26"/>
      <c r="H39" s="24"/>
      <c r="I39" s="94"/>
      <c r="J39" s="116"/>
      <c r="K39" s="25"/>
    </row>
    <row r="40" spans="1:11" ht="12.75">
      <c r="A40" s="50" t="s">
        <v>62</v>
      </c>
      <c r="B40" t="s">
        <v>17</v>
      </c>
      <c r="C40" s="24">
        <v>5621</v>
      </c>
      <c r="D40" s="25">
        <v>8821</v>
      </c>
      <c r="E40" s="26">
        <v>-17</v>
      </c>
      <c r="F40" s="24">
        <v>0</v>
      </c>
      <c r="G40" s="26">
        <v>0</v>
      </c>
      <c r="H40" s="24">
        <v>0</v>
      </c>
      <c r="I40" s="94">
        <v>0</v>
      </c>
      <c r="J40" s="116">
        <v>0</v>
      </c>
      <c r="K40" s="59">
        <f>SUM(D40:J40)</f>
        <v>8804</v>
      </c>
    </row>
    <row r="41" spans="1:11" s="11" customFormat="1" ht="12.75">
      <c r="A41" s="257"/>
      <c r="B41" s="259" t="s">
        <v>66</v>
      </c>
      <c r="C41" s="260">
        <f>SUM(C40)</f>
        <v>5621</v>
      </c>
      <c r="D41" s="260">
        <f aca="true" t="shared" si="8" ref="D41:K41">SUM(D40)</f>
        <v>8821</v>
      </c>
      <c r="E41" s="260">
        <f t="shared" si="8"/>
        <v>-17</v>
      </c>
      <c r="F41" s="260">
        <f t="shared" si="8"/>
        <v>0</v>
      </c>
      <c r="G41" s="260">
        <f t="shared" si="8"/>
        <v>0</v>
      </c>
      <c r="H41" s="260">
        <f t="shared" si="8"/>
        <v>0</v>
      </c>
      <c r="I41" s="260">
        <f t="shared" si="8"/>
        <v>0</v>
      </c>
      <c r="J41" s="260">
        <f t="shared" si="8"/>
        <v>0</v>
      </c>
      <c r="K41" s="260">
        <f t="shared" si="8"/>
        <v>8804</v>
      </c>
    </row>
    <row r="42" spans="1:11" ht="12.75">
      <c r="A42" s="50"/>
      <c r="B42" s="23"/>
      <c r="C42" s="24"/>
      <c r="D42" s="25"/>
      <c r="E42" s="26"/>
      <c r="F42" s="24"/>
      <c r="G42" s="26"/>
      <c r="H42" s="24"/>
      <c r="I42" s="94"/>
      <c r="J42" s="116"/>
      <c r="K42" s="25"/>
    </row>
    <row r="43" spans="1:11" ht="12.75">
      <c r="A43" s="50" t="s">
        <v>169</v>
      </c>
      <c r="B43" t="s">
        <v>12</v>
      </c>
      <c r="C43" s="24">
        <v>11158</v>
      </c>
      <c r="D43" s="25">
        <v>11158</v>
      </c>
      <c r="E43" s="26">
        <v>-33</v>
      </c>
      <c r="F43" s="24">
        <v>0</v>
      </c>
      <c r="G43" s="26">
        <v>0</v>
      </c>
      <c r="H43" s="24">
        <v>0</v>
      </c>
      <c r="I43" s="94">
        <v>0</v>
      </c>
      <c r="J43" s="116">
        <v>0</v>
      </c>
      <c r="K43" s="59">
        <f>SUM(D43:J43)</f>
        <v>11125</v>
      </c>
    </row>
    <row r="44" spans="1:11" s="11" customFormat="1" ht="12.75">
      <c r="A44" s="257"/>
      <c r="B44" s="259" t="s">
        <v>123</v>
      </c>
      <c r="C44" s="260">
        <f>SUM(C43)</f>
        <v>11158</v>
      </c>
      <c r="D44" s="260">
        <f aca="true" t="shared" si="9" ref="D44:K44">SUM(D43)</f>
        <v>11158</v>
      </c>
      <c r="E44" s="260">
        <f t="shared" si="9"/>
        <v>-33</v>
      </c>
      <c r="F44" s="260">
        <f t="shared" si="9"/>
        <v>0</v>
      </c>
      <c r="G44" s="260">
        <f t="shared" si="9"/>
        <v>0</v>
      </c>
      <c r="H44" s="260">
        <f t="shared" si="9"/>
        <v>0</v>
      </c>
      <c r="I44" s="260">
        <f t="shared" si="9"/>
        <v>0</v>
      </c>
      <c r="J44" s="260">
        <f t="shared" si="9"/>
        <v>0</v>
      </c>
      <c r="K44" s="260">
        <f t="shared" si="9"/>
        <v>11125</v>
      </c>
    </row>
    <row r="45" spans="1:11" ht="12.75">
      <c r="A45" s="50"/>
      <c r="B45" s="23"/>
      <c r="C45" s="24"/>
      <c r="D45" s="25"/>
      <c r="E45" s="26"/>
      <c r="F45" s="24"/>
      <c r="G45" s="26"/>
      <c r="H45" s="24"/>
      <c r="I45" s="94"/>
      <c r="J45" s="116"/>
      <c r="K45" s="25"/>
    </row>
    <row r="46" spans="1:11" ht="12.75">
      <c r="A46" s="50" t="s">
        <v>170</v>
      </c>
      <c r="B46" t="s">
        <v>124</v>
      </c>
      <c r="C46" s="24">
        <v>1498</v>
      </c>
      <c r="D46" s="25">
        <v>1498</v>
      </c>
      <c r="E46" s="26">
        <v>-4</v>
      </c>
      <c r="F46" s="24">
        <v>0</v>
      </c>
      <c r="G46" s="26">
        <v>0</v>
      </c>
      <c r="H46" s="24">
        <v>0</v>
      </c>
      <c r="I46" s="94">
        <v>0</v>
      </c>
      <c r="J46" s="116">
        <v>0</v>
      </c>
      <c r="K46" s="59">
        <f>SUM(D46:J46)</f>
        <v>1494</v>
      </c>
    </row>
    <row r="47" spans="1:11" s="11" customFormat="1" ht="12.75">
      <c r="A47" s="257"/>
      <c r="B47" s="259" t="s">
        <v>125</v>
      </c>
      <c r="C47" s="260">
        <f>SUM(C46)</f>
        <v>1498</v>
      </c>
      <c r="D47" s="260">
        <f aca="true" t="shared" si="10" ref="D47:K47">SUM(D46)</f>
        <v>1498</v>
      </c>
      <c r="E47" s="260">
        <f t="shared" si="10"/>
        <v>-4</v>
      </c>
      <c r="F47" s="260">
        <f t="shared" si="10"/>
        <v>0</v>
      </c>
      <c r="G47" s="260">
        <f t="shared" si="10"/>
        <v>0</v>
      </c>
      <c r="H47" s="260">
        <f t="shared" si="10"/>
        <v>0</v>
      </c>
      <c r="I47" s="260">
        <f t="shared" si="10"/>
        <v>0</v>
      </c>
      <c r="J47" s="260">
        <f t="shared" si="10"/>
        <v>0</v>
      </c>
      <c r="K47" s="260">
        <f t="shared" si="10"/>
        <v>1494</v>
      </c>
    </row>
    <row r="48" spans="1:11" ht="12.75">
      <c r="A48" s="50"/>
      <c r="B48" s="34"/>
      <c r="C48" s="24"/>
      <c r="D48" s="25"/>
      <c r="E48" s="26"/>
      <c r="F48" s="24"/>
      <c r="G48" s="26"/>
      <c r="H48" s="24"/>
      <c r="I48" s="94"/>
      <c r="J48" s="116"/>
      <c r="K48" s="25"/>
    </row>
    <row r="49" spans="1:11" ht="12.75">
      <c r="A49" s="50" t="s">
        <v>171</v>
      </c>
      <c r="B49" t="s">
        <v>12</v>
      </c>
      <c r="C49" s="24">
        <v>2149</v>
      </c>
      <c r="D49" s="25">
        <v>2149</v>
      </c>
      <c r="E49" s="26">
        <v>-6</v>
      </c>
      <c r="F49" s="24">
        <v>0</v>
      </c>
      <c r="G49" s="26">
        <v>0</v>
      </c>
      <c r="H49" s="24">
        <v>0</v>
      </c>
      <c r="I49" s="94">
        <v>0</v>
      </c>
      <c r="J49" s="116">
        <v>0</v>
      </c>
      <c r="K49" s="59">
        <f>SUM(D49:J49)</f>
        <v>2143</v>
      </c>
    </row>
    <row r="50" spans="1:11" s="11" customFormat="1" ht="12.75">
      <c r="A50" s="257"/>
      <c r="B50" s="259" t="s">
        <v>126</v>
      </c>
      <c r="C50" s="260">
        <f>SUM(C49)</f>
        <v>2149</v>
      </c>
      <c r="D50" s="260">
        <f aca="true" t="shared" si="11" ref="D50:K50">SUM(D49)</f>
        <v>2149</v>
      </c>
      <c r="E50" s="260">
        <f t="shared" si="11"/>
        <v>-6</v>
      </c>
      <c r="F50" s="260">
        <f t="shared" si="11"/>
        <v>0</v>
      </c>
      <c r="G50" s="260">
        <f t="shared" si="11"/>
        <v>0</v>
      </c>
      <c r="H50" s="260">
        <f t="shared" si="11"/>
        <v>0</v>
      </c>
      <c r="I50" s="260">
        <f t="shared" si="11"/>
        <v>0</v>
      </c>
      <c r="J50" s="260">
        <f t="shared" si="11"/>
        <v>0</v>
      </c>
      <c r="K50" s="260">
        <f t="shared" si="11"/>
        <v>2143</v>
      </c>
    </row>
    <row r="51" spans="1:11" ht="12.75">
      <c r="A51" s="50"/>
      <c r="B51" s="23"/>
      <c r="C51" s="24"/>
      <c r="D51" s="25"/>
      <c r="E51" s="26"/>
      <c r="F51" s="24"/>
      <c r="G51" s="26"/>
      <c r="H51" s="24"/>
      <c r="I51" s="94"/>
      <c r="J51" s="116"/>
      <c r="K51" s="25"/>
    </row>
    <row r="52" spans="1:11" ht="12.75">
      <c r="A52" s="50" t="s">
        <v>172</v>
      </c>
      <c r="B52" t="s">
        <v>12</v>
      </c>
      <c r="C52" s="24">
        <v>689</v>
      </c>
      <c r="D52" s="25">
        <v>689</v>
      </c>
      <c r="E52" s="26">
        <v>-2</v>
      </c>
      <c r="F52" s="24">
        <v>0</v>
      </c>
      <c r="G52" s="26">
        <v>0</v>
      </c>
      <c r="H52" s="24">
        <v>0</v>
      </c>
      <c r="I52" s="94">
        <v>0</v>
      </c>
      <c r="J52" s="116">
        <v>0</v>
      </c>
      <c r="K52" s="59">
        <f>SUM(D52:J52)</f>
        <v>687</v>
      </c>
    </row>
    <row r="53" spans="1:11" s="11" customFormat="1" ht="12.75">
      <c r="A53" s="257"/>
      <c r="B53" s="259" t="s">
        <v>127</v>
      </c>
      <c r="C53" s="260">
        <f>SUM(C52)</f>
        <v>689</v>
      </c>
      <c r="D53" s="260">
        <f aca="true" t="shared" si="12" ref="D53:K53">SUM(D52)</f>
        <v>689</v>
      </c>
      <c r="E53" s="260">
        <f t="shared" si="12"/>
        <v>-2</v>
      </c>
      <c r="F53" s="260">
        <f t="shared" si="12"/>
        <v>0</v>
      </c>
      <c r="G53" s="260">
        <f t="shared" si="12"/>
        <v>0</v>
      </c>
      <c r="H53" s="260">
        <f t="shared" si="12"/>
        <v>0</v>
      </c>
      <c r="I53" s="260">
        <f t="shared" si="12"/>
        <v>0</v>
      </c>
      <c r="J53" s="260">
        <f t="shared" si="12"/>
        <v>0</v>
      </c>
      <c r="K53" s="260">
        <f t="shared" si="12"/>
        <v>687</v>
      </c>
    </row>
    <row r="54" spans="1:11" s="11" customFormat="1" ht="12.75">
      <c r="A54" s="50"/>
      <c r="C54" s="56"/>
      <c r="D54" s="56"/>
      <c r="E54" s="56"/>
      <c r="F54" s="56"/>
      <c r="G54" s="56"/>
      <c r="H54" s="56"/>
      <c r="I54" s="124"/>
      <c r="J54" s="124"/>
      <c r="K54" s="56"/>
    </row>
    <row r="55" spans="1:11" s="11" customFormat="1" ht="12.75">
      <c r="A55" s="50" t="s">
        <v>205</v>
      </c>
      <c r="B55" s="27" t="s">
        <v>206</v>
      </c>
      <c r="C55" s="24">
        <v>436</v>
      </c>
      <c r="D55" s="25">
        <v>436</v>
      </c>
      <c r="E55" s="26">
        <v>-1</v>
      </c>
      <c r="F55" s="24">
        <v>0</v>
      </c>
      <c r="G55" s="26">
        <v>0</v>
      </c>
      <c r="H55" s="24">
        <v>0</v>
      </c>
      <c r="I55" s="94">
        <v>0</v>
      </c>
      <c r="J55" s="116">
        <v>0</v>
      </c>
      <c r="K55" s="59">
        <f>SUM(D55:J55)</f>
        <v>435</v>
      </c>
    </row>
    <row r="56" spans="1:11" s="11" customFormat="1" ht="12.75">
      <c r="A56" s="257"/>
      <c r="B56" s="259" t="s">
        <v>204</v>
      </c>
      <c r="C56" s="260">
        <f>SUM(C55)</f>
        <v>436</v>
      </c>
      <c r="D56" s="260">
        <f aca="true" t="shared" si="13" ref="D56:K56">SUM(D55)</f>
        <v>436</v>
      </c>
      <c r="E56" s="260">
        <f t="shared" si="13"/>
        <v>-1</v>
      </c>
      <c r="F56" s="260">
        <f t="shared" si="13"/>
        <v>0</v>
      </c>
      <c r="G56" s="260">
        <f t="shared" si="13"/>
        <v>0</v>
      </c>
      <c r="H56" s="260">
        <f t="shared" si="13"/>
        <v>0</v>
      </c>
      <c r="I56" s="260">
        <f t="shared" si="13"/>
        <v>0</v>
      </c>
      <c r="J56" s="260">
        <f t="shared" si="13"/>
        <v>0</v>
      </c>
      <c r="K56" s="260">
        <f t="shared" si="13"/>
        <v>435</v>
      </c>
    </row>
    <row r="57" spans="1:11" s="11" customFormat="1" ht="12.75">
      <c r="A57" s="50"/>
      <c r="C57" s="56"/>
      <c r="D57" s="56"/>
      <c r="E57" s="56"/>
      <c r="F57" s="56"/>
      <c r="G57" s="56"/>
      <c r="H57" s="56"/>
      <c r="I57" s="124"/>
      <c r="J57" s="124"/>
      <c r="K57" s="56"/>
    </row>
    <row r="58" spans="1:11" s="11" customFormat="1" ht="12.75">
      <c r="A58" s="50" t="s">
        <v>179</v>
      </c>
      <c r="B58" s="93" t="s">
        <v>4</v>
      </c>
      <c r="C58" s="116">
        <v>4505</v>
      </c>
      <c r="D58" s="25">
        <v>4505</v>
      </c>
      <c r="E58" s="116">
        <v>-13</v>
      </c>
      <c r="F58" s="116">
        <v>0</v>
      </c>
      <c r="G58" s="26">
        <v>0</v>
      </c>
      <c r="H58" s="116">
        <v>0</v>
      </c>
      <c r="I58" s="94">
        <v>0</v>
      </c>
      <c r="J58" s="116">
        <f>SUM('FY 09-11 DD 1416 Tracker-Total'!AU70)</f>
        <v>0</v>
      </c>
      <c r="K58" s="59">
        <f>SUM(D58:J58)</f>
        <v>4492</v>
      </c>
    </row>
    <row r="59" spans="1:11" s="11" customFormat="1" ht="12.75">
      <c r="A59" s="257"/>
      <c r="B59" s="259" t="s">
        <v>48</v>
      </c>
      <c r="C59" s="260">
        <f aca="true" t="shared" si="14" ref="C59:K59">SUM(C58)</f>
        <v>4505</v>
      </c>
      <c r="D59" s="260">
        <f t="shared" si="14"/>
        <v>4505</v>
      </c>
      <c r="E59" s="260">
        <f t="shared" si="14"/>
        <v>-13</v>
      </c>
      <c r="F59" s="260">
        <f t="shared" si="14"/>
        <v>0</v>
      </c>
      <c r="G59" s="260">
        <f t="shared" si="14"/>
        <v>0</v>
      </c>
      <c r="H59" s="260">
        <f t="shared" si="14"/>
        <v>0</v>
      </c>
      <c r="I59" s="260">
        <f t="shared" si="14"/>
        <v>0</v>
      </c>
      <c r="J59" s="260">
        <f t="shared" si="14"/>
        <v>0</v>
      </c>
      <c r="K59" s="260">
        <f t="shared" si="14"/>
        <v>4492</v>
      </c>
    </row>
    <row r="60" spans="1:11" s="11" customFormat="1" ht="13.5" thickBot="1">
      <c r="A60" s="50"/>
      <c r="C60" s="56"/>
      <c r="D60" s="56"/>
      <c r="E60" s="56"/>
      <c r="F60" s="56"/>
      <c r="G60" s="56"/>
      <c r="H60" s="56"/>
      <c r="I60" s="124"/>
      <c r="J60" s="124"/>
      <c r="K60" s="56"/>
    </row>
    <row r="61" spans="1:11" s="52" customFormat="1" ht="13.5" thickBot="1">
      <c r="A61" s="245"/>
      <c r="B61" s="51" t="s">
        <v>232</v>
      </c>
      <c r="C61" s="38">
        <f>SUM(C9+C13+C26+C29+C32+C35+C38+C41+C44+C47+C50+C53+C56+C59)</f>
        <v>575166</v>
      </c>
      <c r="D61" s="38">
        <f aca="true" t="shared" si="15" ref="D61:K61">SUM(D9+D13+D26+D29+D32+D35+D38+D41+D44+D47+D50+D53+D56+D59)</f>
        <v>551414</v>
      </c>
      <c r="E61" s="38">
        <f t="shared" si="15"/>
        <v>-1625</v>
      </c>
      <c r="F61" s="38">
        <f t="shared" si="15"/>
        <v>0</v>
      </c>
      <c r="G61" s="38">
        <f t="shared" si="15"/>
        <v>0</v>
      </c>
      <c r="H61" s="38">
        <f t="shared" si="15"/>
        <v>0</v>
      </c>
      <c r="I61" s="38">
        <f t="shared" si="15"/>
        <v>-3461</v>
      </c>
      <c r="J61" s="38">
        <f t="shared" si="15"/>
        <v>0</v>
      </c>
      <c r="K61" s="38">
        <f t="shared" si="15"/>
        <v>546329</v>
      </c>
    </row>
    <row r="62" spans="1:11" ht="12.75">
      <c r="A62" s="246"/>
      <c r="B62" s="36"/>
      <c r="C62" s="24"/>
      <c r="D62" s="25"/>
      <c r="E62" s="26"/>
      <c r="F62" s="24"/>
      <c r="G62" s="26"/>
      <c r="H62" s="24"/>
      <c r="I62" s="94"/>
      <c r="J62" s="116"/>
      <c r="K62" s="25"/>
    </row>
    <row r="63" spans="1:13" ht="12.75">
      <c r="A63" s="50" t="s">
        <v>174</v>
      </c>
      <c r="B63" s="3" t="s">
        <v>22</v>
      </c>
      <c r="C63" s="24">
        <v>51950</v>
      </c>
      <c r="D63" s="25">
        <v>89350</v>
      </c>
      <c r="E63" s="26">
        <v>-153</v>
      </c>
      <c r="F63" s="24">
        <v>0</v>
      </c>
      <c r="G63" s="26">
        <v>0</v>
      </c>
      <c r="H63" s="24">
        <v>0</v>
      </c>
      <c r="I63" s="94">
        <v>0</v>
      </c>
      <c r="J63" s="116">
        <f>4194+2128-2678</f>
        <v>3644</v>
      </c>
      <c r="K63" s="59">
        <f>SUM(D63:J63)</f>
        <v>92841</v>
      </c>
      <c r="L63" s="16"/>
      <c r="M63" s="16"/>
    </row>
    <row r="64" spans="1:13" ht="12.75">
      <c r="A64" s="50"/>
      <c r="B64" s="3" t="s">
        <v>254</v>
      </c>
      <c r="C64" s="24">
        <v>63667</v>
      </c>
      <c r="D64" s="25">
        <v>63667</v>
      </c>
      <c r="E64" s="26">
        <v>-188</v>
      </c>
      <c r="F64" s="24">
        <v>0</v>
      </c>
      <c r="G64" s="26">
        <v>0</v>
      </c>
      <c r="H64" s="24">
        <v>0</v>
      </c>
      <c r="I64" s="94">
        <v>366</v>
      </c>
      <c r="J64" s="116">
        <f>11201-2128+2527</f>
        <v>11600</v>
      </c>
      <c r="K64" s="59">
        <f aca="true" t="shared" si="16" ref="K64:K98">SUM(D64:J64)</f>
        <v>75445</v>
      </c>
      <c r="L64" s="16"/>
      <c r="M64" s="16"/>
    </row>
    <row r="65" spans="1:13" ht="12.75">
      <c r="A65" s="50"/>
      <c r="B65" s="3" t="s">
        <v>23</v>
      </c>
      <c r="C65" s="24">
        <v>98163</v>
      </c>
      <c r="D65" s="25">
        <v>98163</v>
      </c>
      <c r="E65" s="26">
        <v>-400</v>
      </c>
      <c r="F65" s="24">
        <v>0</v>
      </c>
      <c r="G65" s="26">
        <v>0</v>
      </c>
      <c r="H65" s="24">
        <v>0</v>
      </c>
      <c r="I65" s="94">
        <v>0</v>
      </c>
      <c r="J65" s="116">
        <v>-1800</v>
      </c>
      <c r="K65" s="59">
        <f t="shared" si="16"/>
        <v>95963</v>
      </c>
      <c r="L65" s="16"/>
      <c r="M65" s="16"/>
    </row>
    <row r="66" spans="1:13" ht="12.75">
      <c r="A66" s="50"/>
      <c r="B66" s="3" t="s">
        <v>133</v>
      </c>
      <c r="C66" s="24">
        <v>39172</v>
      </c>
      <c r="D66" s="25">
        <v>39172</v>
      </c>
      <c r="E66" s="26">
        <v>-116</v>
      </c>
      <c r="F66" s="24">
        <v>0</v>
      </c>
      <c r="G66" s="26">
        <v>0</v>
      </c>
      <c r="H66" s="24">
        <v>0</v>
      </c>
      <c r="I66" s="94">
        <v>0</v>
      </c>
      <c r="J66" s="116">
        <v>10740</v>
      </c>
      <c r="K66" s="59">
        <f t="shared" si="16"/>
        <v>49796</v>
      </c>
      <c r="L66" s="16"/>
      <c r="M66" s="16"/>
    </row>
    <row r="67" spans="1:13" ht="12.75">
      <c r="A67" s="50"/>
      <c r="B67" s="3" t="s">
        <v>134</v>
      </c>
      <c r="C67" s="24">
        <v>36286</v>
      </c>
      <c r="D67" s="25">
        <v>11286</v>
      </c>
      <c r="E67" s="26">
        <v>-33</v>
      </c>
      <c r="F67" s="24">
        <v>0</v>
      </c>
      <c r="G67" s="26">
        <v>0</v>
      </c>
      <c r="H67" s="24">
        <v>0</v>
      </c>
      <c r="I67" s="94">
        <v>0</v>
      </c>
      <c r="J67" s="116">
        <v>0</v>
      </c>
      <c r="K67" s="59">
        <f t="shared" si="16"/>
        <v>11253</v>
      </c>
      <c r="L67" s="16"/>
      <c r="M67" s="16"/>
    </row>
    <row r="68" spans="1:13" ht="12.75">
      <c r="A68" s="50"/>
      <c r="B68" s="3" t="s">
        <v>219</v>
      </c>
      <c r="C68" s="24">
        <v>7659</v>
      </c>
      <c r="D68" s="25">
        <v>7659</v>
      </c>
      <c r="E68" s="26">
        <v>-23</v>
      </c>
      <c r="F68" s="24">
        <v>0</v>
      </c>
      <c r="G68" s="26">
        <v>0</v>
      </c>
      <c r="H68" s="24">
        <v>0</v>
      </c>
      <c r="I68" s="94">
        <v>0</v>
      </c>
      <c r="J68" s="116">
        <v>0</v>
      </c>
      <c r="K68" s="59">
        <f t="shared" si="16"/>
        <v>7636</v>
      </c>
      <c r="L68" s="16"/>
      <c r="M68" s="16"/>
    </row>
    <row r="69" spans="1:13" ht="12.75">
      <c r="A69" s="50"/>
      <c r="B69" s="3" t="s">
        <v>24</v>
      </c>
      <c r="C69" s="24">
        <v>162971</v>
      </c>
      <c r="D69" s="25">
        <v>162971</v>
      </c>
      <c r="E69" s="26">
        <v>-481</v>
      </c>
      <c r="F69" s="24">
        <v>0</v>
      </c>
      <c r="G69" s="26">
        <v>0</v>
      </c>
      <c r="H69" s="24">
        <v>0</v>
      </c>
      <c r="I69" s="94">
        <v>0</v>
      </c>
      <c r="J69" s="116">
        <v>-7460</v>
      </c>
      <c r="K69" s="59">
        <f t="shared" si="16"/>
        <v>155030</v>
      </c>
      <c r="L69" s="16"/>
      <c r="M69" s="16"/>
    </row>
    <row r="70" spans="1:13" ht="12.75">
      <c r="A70" s="50"/>
      <c r="B70" s="3" t="s">
        <v>25</v>
      </c>
      <c r="C70" s="24">
        <v>47018</v>
      </c>
      <c r="D70" s="25">
        <v>33277</v>
      </c>
      <c r="E70" s="26">
        <v>-98</v>
      </c>
      <c r="F70" s="24">
        <v>0</v>
      </c>
      <c r="G70" s="26">
        <v>17000</v>
      </c>
      <c r="H70" s="24">
        <v>0</v>
      </c>
      <c r="I70" s="94">
        <v>141300</v>
      </c>
      <c r="J70" s="116">
        <f>-2392+31</f>
        <v>-2361</v>
      </c>
      <c r="K70" s="59">
        <f t="shared" si="16"/>
        <v>189118</v>
      </c>
      <c r="L70" s="16"/>
      <c r="M70" s="16"/>
    </row>
    <row r="71" spans="1:13" ht="12.75">
      <c r="A71" s="50"/>
      <c r="B71" s="3" t="s">
        <v>26</v>
      </c>
      <c r="C71" s="24">
        <v>1347</v>
      </c>
      <c r="D71" s="25">
        <v>1347</v>
      </c>
      <c r="E71" s="26">
        <v>-4</v>
      </c>
      <c r="F71" s="24">
        <v>0</v>
      </c>
      <c r="G71" s="26">
        <v>0</v>
      </c>
      <c r="H71" s="24">
        <v>0</v>
      </c>
      <c r="I71" s="94">
        <v>0</v>
      </c>
      <c r="J71" s="116">
        <f>-237-31</f>
        <v>-268</v>
      </c>
      <c r="K71" s="59">
        <f t="shared" si="16"/>
        <v>1075</v>
      </c>
      <c r="L71" s="16"/>
      <c r="M71" s="16"/>
    </row>
    <row r="72" spans="1:13" ht="12.75">
      <c r="A72" s="50"/>
      <c r="B72" s="3" t="s">
        <v>27</v>
      </c>
      <c r="C72" s="24">
        <v>5760</v>
      </c>
      <c r="D72" s="25">
        <v>5760</v>
      </c>
      <c r="E72" s="26">
        <v>-17</v>
      </c>
      <c r="F72" s="24">
        <v>0</v>
      </c>
      <c r="G72" s="26">
        <v>-5200</v>
      </c>
      <c r="H72" s="24">
        <v>0</v>
      </c>
      <c r="I72" s="94">
        <v>0</v>
      </c>
      <c r="J72" s="116">
        <f>0-108</f>
        <v>-108</v>
      </c>
      <c r="K72" s="59">
        <f t="shared" si="16"/>
        <v>435</v>
      </c>
      <c r="L72" s="365"/>
      <c r="M72" s="16"/>
    </row>
    <row r="73" spans="1:13" ht="12.75">
      <c r="A73" s="50"/>
      <c r="B73" s="3" t="s">
        <v>28</v>
      </c>
      <c r="C73" s="24">
        <v>7061</v>
      </c>
      <c r="D73" s="25">
        <v>7061</v>
      </c>
      <c r="E73" s="26">
        <v>-21</v>
      </c>
      <c r="F73" s="24">
        <v>0</v>
      </c>
      <c r="G73" s="26">
        <v>0</v>
      </c>
      <c r="H73" s="24">
        <v>0</v>
      </c>
      <c r="I73" s="94">
        <v>0</v>
      </c>
      <c r="J73" s="116">
        <f>0+108</f>
        <v>108</v>
      </c>
      <c r="K73" s="59">
        <f t="shared" si="16"/>
        <v>7148</v>
      </c>
      <c r="L73" s="16"/>
      <c r="M73" s="16"/>
    </row>
    <row r="74" spans="1:13" ht="12.75">
      <c r="A74" s="50"/>
      <c r="B74" s="3" t="s">
        <v>135</v>
      </c>
      <c r="C74" s="24">
        <v>67083</v>
      </c>
      <c r="D74" s="25">
        <v>67083</v>
      </c>
      <c r="E74" s="26">
        <v>-198</v>
      </c>
      <c r="F74" s="24">
        <v>0</v>
      </c>
      <c r="G74" s="26">
        <f>43640+1000</f>
        <v>44640</v>
      </c>
      <c r="H74" s="24">
        <v>0</v>
      </c>
      <c r="I74" s="94">
        <v>0</v>
      </c>
      <c r="J74" s="116">
        <v>-5924</v>
      </c>
      <c r="K74" s="59">
        <f t="shared" si="16"/>
        <v>105601</v>
      </c>
      <c r="L74" s="16"/>
      <c r="M74" s="16"/>
    </row>
    <row r="75" spans="1:13" ht="12.75">
      <c r="A75" s="50"/>
      <c r="B75" s="3" t="s">
        <v>136</v>
      </c>
      <c r="C75" s="24">
        <v>5540</v>
      </c>
      <c r="D75" s="25">
        <v>12540</v>
      </c>
      <c r="E75" s="26">
        <v>-37</v>
      </c>
      <c r="F75" s="24">
        <v>0</v>
      </c>
      <c r="G75" s="26">
        <v>0</v>
      </c>
      <c r="H75" s="24">
        <v>0</v>
      </c>
      <c r="I75" s="94">
        <v>0</v>
      </c>
      <c r="J75" s="116">
        <v>7051</v>
      </c>
      <c r="K75" s="59">
        <f t="shared" si="16"/>
        <v>19554</v>
      </c>
      <c r="L75" s="16"/>
      <c r="M75" s="16"/>
    </row>
    <row r="76" spans="1:13" ht="12.75">
      <c r="A76" s="50"/>
      <c r="B76" s="3" t="s">
        <v>137</v>
      </c>
      <c r="C76" s="24">
        <v>67220</v>
      </c>
      <c r="D76" s="25">
        <v>73220</v>
      </c>
      <c r="E76" s="26">
        <v>-216</v>
      </c>
      <c r="F76" s="24">
        <v>0</v>
      </c>
      <c r="G76" s="26">
        <v>3100</v>
      </c>
      <c r="H76" s="24">
        <v>0</v>
      </c>
      <c r="I76" s="94">
        <v>0</v>
      </c>
      <c r="J76" s="116">
        <v>7058</v>
      </c>
      <c r="K76" s="59">
        <f t="shared" si="16"/>
        <v>83162</v>
      </c>
      <c r="L76" s="16"/>
      <c r="M76" s="16"/>
    </row>
    <row r="77" spans="1:13" ht="12.75">
      <c r="A77" s="50"/>
      <c r="B77" s="3" t="s">
        <v>29</v>
      </c>
      <c r="C77" s="24">
        <v>54122</v>
      </c>
      <c r="D77" s="25">
        <v>56122</v>
      </c>
      <c r="E77" s="26">
        <v>-165</v>
      </c>
      <c r="F77" s="24">
        <v>0</v>
      </c>
      <c r="G77" s="26">
        <v>8100</v>
      </c>
      <c r="H77" s="24">
        <v>0</v>
      </c>
      <c r="I77" s="94">
        <v>0</v>
      </c>
      <c r="J77" s="116">
        <v>2391</v>
      </c>
      <c r="K77" s="59">
        <f t="shared" si="16"/>
        <v>66448</v>
      </c>
      <c r="L77" s="16"/>
      <c r="M77" s="16"/>
    </row>
    <row r="78" spans="1:13" ht="12.75">
      <c r="A78" s="50"/>
      <c r="B78" s="3" t="s">
        <v>31</v>
      </c>
      <c r="C78" s="24">
        <v>15689</v>
      </c>
      <c r="D78" s="25">
        <v>23489</v>
      </c>
      <c r="E78" s="26">
        <v>-69</v>
      </c>
      <c r="F78" s="24">
        <v>0</v>
      </c>
      <c r="G78" s="26">
        <v>16250</v>
      </c>
      <c r="H78" s="24">
        <v>0</v>
      </c>
      <c r="I78" s="94">
        <v>0</v>
      </c>
      <c r="J78" s="116">
        <f>-103-16250+16250</f>
        <v>-103</v>
      </c>
      <c r="K78" s="59">
        <f t="shared" si="16"/>
        <v>39567</v>
      </c>
      <c r="L78" s="16"/>
      <c r="M78" s="16"/>
    </row>
    <row r="79" spans="1:13" ht="12.75">
      <c r="A79" s="50"/>
      <c r="B79" s="3" t="s">
        <v>32</v>
      </c>
      <c r="C79" s="24">
        <v>1265</v>
      </c>
      <c r="D79" s="25">
        <v>1265</v>
      </c>
      <c r="E79" s="26">
        <v>-4</v>
      </c>
      <c r="F79" s="24">
        <v>0</v>
      </c>
      <c r="G79" s="26">
        <v>0</v>
      </c>
      <c r="H79" s="24">
        <v>0</v>
      </c>
      <c r="I79" s="94">
        <v>0</v>
      </c>
      <c r="J79" s="116">
        <v>0</v>
      </c>
      <c r="K79" s="59">
        <f t="shared" si="16"/>
        <v>1261</v>
      </c>
      <c r="L79" s="16"/>
      <c r="M79" s="16"/>
    </row>
    <row r="80" spans="1:13" ht="12.75">
      <c r="A80" s="50"/>
      <c r="B80" s="3" t="s">
        <v>138</v>
      </c>
      <c r="C80" s="24">
        <v>12484</v>
      </c>
      <c r="D80" s="25">
        <v>12484</v>
      </c>
      <c r="E80" s="26">
        <v>-37</v>
      </c>
      <c r="F80" s="24">
        <v>0</v>
      </c>
      <c r="G80" s="26">
        <v>0</v>
      </c>
      <c r="H80" s="24">
        <v>0</v>
      </c>
      <c r="I80" s="94">
        <v>0</v>
      </c>
      <c r="J80" s="116">
        <v>0</v>
      </c>
      <c r="K80" s="59">
        <f t="shared" si="16"/>
        <v>12447</v>
      </c>
      <c r="L80" s="16"/>
      <c r="M80" s="16"/>
    </row>
    <row r="81" spans="1:13" ht="12.75">
      <c r="A81" s="50"/>
      <c r="B81" s="3" t="s">
        <v>33</v>
      </c>
      <c r="C81" s="24">
        <v>18795</v>
      </c>
      <c r="D81" s="25">
        <v>21675</v>
      </c>
      <c r="E81" s="26">
        <v>-64</v>
      </c>
      <c r="F81" s="24">
        <v>0</v>
      </c>
      <c r="G81" s="26">
        <v>0</v>
      </c>
      <c r="H81" s="24">
        <v>0</v>
      </c>
      <c r="I81" s="94">
        <v>0</v>
      </c>
      <c r="J81" s="116">
        <f>-495-8</f>
        <v>-503</v>
      </c>
      <c r="K81" s="59">
        <f t="shared" si="16"/>
        <v>21108</v>
      </c>
      <c r="L81" s="16"/>
      <c r="M81" s="16"/>
    </row>
    <row r="82" spans="1:13" ht="12.75">
      <c r="A82" s="50"/>
      <c r="B82" s="3" t="s">
        <v>34</v>
      </c>
      <c r="C82" s="24">
        <v>3272</v>
      </c>
      <c r="D82" s="25">
        <v>3272</v>
      </c>
      <c r="E82" s="26">
        <v>-10</v>
      </c>
      <c r="F82" s="24">
        <v>0</v>
      </c>
      <c r="G82" s="26">
        <v>0</v>
      </c>
      <c r="H82" s="24">
        <v>0</v>
      </c>
      <c r="I82" s="94">
        <v>0</v>
      </c>
      <c r="J82" s="116">
        <v>-651</v>
      </c>
      <c r="K82" s="59">
        <f t="shared" si="16"/>
        <v>2611</v>
      </c>
      <c r="L82" s="16"/>
      <c r="M82" s="16"/>
    </row>
    <row r="83" spans="1:13" ht="12.75">
      <c r="A83" s="50"/>
      <c r="B83" s="3" t="s">
        <v>35</v>
      </c>
      <c r="C83" s="24">
        <v>3702</v>
      </c>
      <c r="D83" s="25">
        <v>3702</v>
      </c>
      <c r="E83" s="26">
        <v>-11</v>
      </c>
      <c r="F83" s="24">
        <v>0</v>
      </c>
      <c r="G83" s="26">
        <v>-6400</v>
      </c>
      <c r="H83" s="24">
        <v>0</v>
      </c>
      <c r="I83" s="94">
        <f>17000+142000</f>
        <v>159000</v>
      </c>
      <c r="J83" s="116">
        <f>900+6400-6400</f>
        <v>900</v>
      </c>
      <c r="K83" s="59">
        <f t="shared" si="16"/>
        <v>157191</v>
      </c>
      <c r="L83" s="16"/>
      <c r="M83" s="16"/>
    </row>
    <row r="84" spans="1:13" ht="12.75">
      <c r="A84" s="50"/>
      <c r="B84" s="3" t="s">
        <v>139</v>
      </c>
      <c r="C84" s="24">
        <v>34151</v>
      </c>
      <c r="D84" s="25">
        <v>36151</v>
      </c>
      <c r="E84" s="26">
        <v>-107</v>
      </c>
      <c r="F84" s="24">
        <v>0</v>
      </c>
      <c r="G84" s="26">
        <v>0</v>
      </c>
      <c r="H84" s="24">
        <v>0</v>
      </c>
      <c r="I84" s="94">
        <v>0</v>
      </c>
      <c r="J84" s="116">
        <v>0</v>
      </c>
      <c r="K84" s="59">
        <f t="shared" si="16"/>
        <v>36044</v>
      </c>
      <c r="L84" s="16"/>
      <c r="M84" s="16"/>
    </row>
    <row r="85" spans="1:13" ht="12.75">
      <c r="A85" s="50"/>
      <c r="B85" s="3" t="s">
        <v>140</v>
      </c>
      <c r="C85" s="24">
        <v>21593</v>
      </c>
      <c r="D85" s="25">
        <v>20000</v>
      </c>
      <c r="E85" s="26">
        <v>-59</v>
      </c>
      <c r="F85" s="24">
        <v>0</v>
      </c>
      <c r="G85" s="26">
        <v>0</v>
      </c>
      <c r="H85" s="24">
        <v>0</v>
      </c>
      <c r="I85" s="94">
        <v>0</v>
      </c>
      <c r="J85" s="116">
        <v>1059</v>
      </c>
      <c r="K85" s="59">
        <f t="shared" si="16"/>
        <v>21000</v>
      </c>
      <c r="L85" s="16"/>
      <c r="M85" s="16"/>
    </row>
    <row r="86" spans="1:13" ht="12.75">
      <c r="A86" s="50"/>
      <c r="B86" s="3" t="s">
        <v>36</v>
      </c>
      <c r="C86" s="24">
        <v>11722</v>
      </c>
      <c r="D86" s="25">
        <v>11722</v>
      </c>
      <c r="E86" s="26">
        <v>-35</v>
      </c>
      <c r="F86" s="24">
        <v>0</v>
      </c>
      <c r="G86" s="26">
        <v>0</v>
      </c>
      <c r="H86" s="24">
        <v>0</v>
      </c>
      <c r="I86" s="94">
        <v>0</v>
      </c>
      <c r="J86" s="116">
        <v>-2337</v>
      </c>
      <c r="K86" s="59">
        <f t="shared" si="16"/>
        <v>9350</v>
      </c>
      <c r="L86" s="16"/>
      <c r="M86" s="16"/>
    </row>
    <row r="87" spans="1:13" ht="12.75">
      <c r="A87" s="50"/>
      <c r="B87" s="3" t="s">
        <v>37</v>
      </c>
      <c r="C87" s="24">
        <v>27194</v>
      </c>
      <c r="D87" s="25">
        <v>55561</v>
      </c>
      <c r="E87" s="26">
        <v>-164</v>
      </c>
      <c r="F87" s="24">
        <v>0</v>
      </c>
      <c r="G87" s="26">
        <v>0</v>
      </c>
      <c r="H87" s="24">
        <v>0</v>
      </c>
      <c r="I87" s="94">
        <v>0</v>
      </c>
      <c r="J87" s="116">
        <f>0-6400+6400</f>
        <v>0</v>
      </c>
      <c r="K87" s="59">
        <f t="shared" si="16"/>
        <v>55397</v>
      </c>
      <c r="L87" s="16"/>
      <c r="M87" s="16"/>
    </row>
    <row r="88" spans="1:13" ht="12.75">
      <c r="A88" s="50"/>
      <c r="B88" s="3" t="s">
        <v>220</v>
      </c>
      <c r="C88" s="24">
        <v>55248</v>
      </c>
      <c r="D88" s="25">
        <v>55248</v>
      </c>
      <c r="E88" s="26">
        <v>-163</v>
      </c>
      <c r="F88" s="24">
        <v>0</v>
      </c>
      <c r="G88" s="26">
        <v>0</v>
      </c>
      <c r="H88" s="24">
        <v>0</v>
      </c>
      <c r="I88" s="94">
        <v>0</v>
      </c>
      <c r="J88" s="116">
        <f>288+263</f>
        <v>551</v>
      </c>
      <c r="K88" s="59">
        <f t="shared" si="16"/>
        <v>55636</v>
      </c>
      <c r="L88" s="16"/>
      <c r="M88" s="16"/>
    </row>
    <row r="89" spans="1:13" ht="12.75">
      <c r="A89" s="50"/>
      <c r="B89" s="117" t="s">
        <v>221</v>
      </c>
      <c r="C89" s="24">
        <v>15862</v>
      </c>
      <c r="D89" s="25">
        <v>15862</v>
      </c>
      <c r="E89" s="26">
        <v>-47</v>
      </c>
      <c r="F89" s="24">
        <v>0</v>
      </c>
      <c r="G89" s="26">
        <v>0</v>
      </c>
      <c r="H89" s="24">
        <v>0</v>
      </c>
      <c r="I89" s="94">
        <v>0</v>
      </c>
      <c r="J89" s="116">
        <v>-830</v>
      </c>
      <c r="K89" s="59">
        <f>SUM(D89:J89)</f>
        <v>14985</v>
      </c>
      <c r="L89" s="16"/>
      <c r="M89" s="16"/>
    </row>
    <row r="90" spans="1:13" ht="12.75">
      <c r="A90" s="50"/>
      <c r="B90" s="3" t="s">
        <v>223</v>
      </c>
      <c r="C90" s="24">
        <v>25892</v>
      </c>
      <c r="D90" s="25">
        <v>25892</v>
      </c>
      <c r="E90" s="26">
        <v>-76</v>
      </c>
      <c r="F90" s="24">
        <v>0</v>
      </c>
      <c r="G90" s="26">
        <v>33750</v>
      </c>
      <c r="H90" s="24">
        <v>0</v>
      </c>
      <c r="I90" s="94">
        <v>0</v>
      </c>
      <c r="J90" s="116">
        <f>0+5000</f>
        <v>5000</v>
      </c>
      <c r="K90" s="59">
        <f>SUM(D90:J90)</f>
        <v>64566</v>
      </c>
      <c r="L90" s="16"/>
      <c r="M90" s="16"/>
    </row>
    <row r="91" spans="1:13" ht="12.75">
      <c r="A91" s="50"/>
      <c r="B91" s="117" t="s">
        <v>222</v>
      </c>
      <c r="C91" s="24">
        <v>15455</v>
      </c>
      <c r="D91" s="25">
        <v>19455</v>
      </c>
      <c r="E91" s="26">
        <v>-57</v>
      </c>
      <c r="F91" s="24">
        <v>0</v>
      </c>
      <c r="G91" s="26">
        <v>0</v>
      </c>
      <c r="H91" s="24">
        <v>0</v>
      </c>
      <c r="I91" s="94">
        <v>0</v>
      </c>
      <c r="J91" s="116">
        <f>-3917+16250-16250</f>
        <v>-3917</v>
      </c>
      <c r="K91" s="59">
        <f>SUM(D91:J91)</f>
        <v>15481</v>
      </c>
      <c r="L91" s="16"/>
      <c r="M91" s="16"/>
    </row>
    <row r="92" spans="1:13" ht="12.75">
      <c r="A92" s="50"/>
      <c r="B92" s="117" t="s">
        <v>224</v>
      </c>
      <c r="C92" s="24">
        <v>30201</v>
      </c>
      <c r="D92" s="25">
        <v>25351</v>
      </c>
      <c r="E92" s="26">
        <v>-75</v>
      </c>
      <c r="F92" s="24">
        <v>0</v>
      </c>
      <c r="G92" s="26">
        <v>0</v>
      </c>
      <c r="H92" s="24">
        <v>0</v>
      </c>
      <c r="I92" s="94">
        <v>0</v>
      </c>
      <c r="J92" s="116">
        <f>104-67</f>
        <v>37</v>
      </c>
      <c r="K92" s="59">
        <f>SUM(D92:J92)</f>
        <v>25313</v>
      </c>
      <c r="L92" s="16"/>
      <c r="M92" s="16"/>
    </row>
    <row r="93" spans="1:13" ht="12.75">
      <c r="A93" s="50"/>
      <c r="B93" s="117" t="s">
        <v>225</v>
      </c>
      <c r="C93" s="24">
        <v>33966</v>
      </c>
      <c r="D93" s="25">
        <v>23566</v>
      </c>
      <c r="E93" s="26">
        <v>-69</v>
      </c>
      <c r="F93" s="24">
        <v>0</v>
      </c>
      <c r="G93" s="26">
        <v>0</v>
      </c>
      <c r="H93" s="24">
        <v>0</v>
      </c>
      <c r="I93" s="94">
        <v>11162</v>
      </c>
      <c r="J93" s="116">
        <v>-3686</v>
      </c>
      <c r="K93" s="59">
        <f>SUM(D93:J93)</f>
        <v>30973</v>
      </c>
      <c r="L93" s="16"/>
      <c r="M93" s="16"/>
    </row>
    <row r="94" spans="1:13" ht="12.75">
      <c r="A94" s="50"/>
      <c r="B94" s="117" t="s">
        <v>38</v>
      </c>
      <c r="C94" s="24">
        <v>13450</v>
      </c>
      <c r="D94" s="25">
        <v>13450</v>
      </c>
      <c r="E94" s="26">
        <v>-40</v>
      </c>
      <c r="F94" s="24">
        <v>0</v>
      </c>
      <c r="G94" s="26">
        <v>0</v>
      </c>
      <c r="H94" s="24">
        <v>0</v>
      </c>
      <c r="I94" s="94">
        <v>0</v>
      </c>
      <c r="J94" s="116">
        <v>0</v>
      </c>
      <c r="K94" s="59">
        <f t="shared" si="16"/>
        <v>13410</v>
      </c>
      <c r="L94" s="16"/>
      <c r="M94" s="16"/>
    </row>
    <row r="95" spans="1:13" ht="12.75">
      <c r="A95" s="50"/>
      <c r="B95" s="117" t="s">
        <v>39</v>
      </c>
      <c r="C95" s="24">
        <v>15331</v>
      </c>
      <c r="D95" s="25">
        <v>15331</v>
      </c>
      <c r="E95" s="26">
        <v>-45</v>
      </c>
      <c r="F95" s="24">
        <v>0</v>
      </c>
      <c r="G95" s="26">
        <v>0</v>
      </c>
      <c r="H95" s="24">
        <v>0</v>
      </c>
      <c r="I95" s="94">
        <v>0</v>
      </c>
      <c r="J95" s="116">
        <f>-3014+8</f>
        <v>-3006</v>
      </c>
      <c r="K95" s="59">
        <f t="shared" si="16"/>
        <v>12280</v>
      </c>
      <c r="L95" s="16"/>
      <c r="M95" s="16"/>
    </row>
    <row r="96" spans="1:13" ht="12.75">
      <c r="A96" s="50"/>
      <c r="B96" s="117" t="s">
        <v>198</v>
      </c>
      <c r="C96" s="24">
        <v>315443</v>
      </c>
      <c r="D96" s="25">
        <v>319443</v>
      </c>
      <c r="E96" s="26">
        <v>-941</v>
      </c>
      <c r="F96" s="24">
        <v>0</v>
      </c>
      <c r="G96" s="26">
        <v>1797</v>
      </c>
      <c r="H96" s="24">
        <v>0</v>
      </c>
      <c r="I96" s="94">
        <v>0</v>
      </c>
      <c r="J96" s="116">
        <f>-7042-4999+830+151</f>
        <v>-11060</v>
      </c>
      <c r="K96" s="59">
        <f t="shared" si="16"/>
        <v>309239</v>
      </c>
      <c r="L96" s="16"/>
      <c r="M96" s="16"/>
    </row>
    <row r="97" spans="1:13" ht="12.75">
      <c r="A97" s="50"/>
      <c r="B97" s="117" t="s">
        <v>40</v>
      </c>
      <c r="C97" s="24">
        <v>64778</v>
      </c>
      <c r="D97" s="25">
        <v>55778</v>
      </c>
      <c r="E97" s="26">
        <v>-164</v>
      </c>
      <c r="F97" s="24">
        <v>0</v>
      </c>
      <c r="G97" s="26">
        <v>0</v>
      </c>
      <c r="H97" s="24">
        <v>0</v>
      </c>
      <c r="I97" s="94">
        <v>-18662</v>
      </c>
      <c r="J97" s="116">
        <f>-5928-196</f>
        <v>-6124</v>
      </c>
      <c r="K97" s="59">
        <f t="shared" si="16"/>
        <v>30828</v>
      </c>
      <c r="L97" s="16"/>
      <c r="M97" s="16"/>
    </row>
    <row r="98" spans="1:13" ht="13.5" thickBot="1">
      <c r="A98" s="50"/>
      <c r="B98" s="31" t="s">
        <v>185</v>
      </c>
      <c r="C98" s="24">
        <v>0</v>
      </c>
      <c r="D98" s="25">
        <v>0</v>
      </c>
      <c r="E98" s="26">
        <v>0</v>
      </c>
      <c r="F98" s="24">
        <v>0</v>
      </c>
      <c r="G98" s="26">
        <v>0</v>
      </c>
      <c r="H98" s="24">
        <v>0</v>
      </c>
      <c r="I98" s="94">
        <f>2407+124+548</f>
        <v>3079</v>
      </c>
      <c r="J98" s="116">
        <v>0</v>
      </c>
      <c r="K98" s="59">
        <f t="shared" si="16"/>
        <v>3079</v>
      </c>
      <c r="L98" s="16"/>
      <c r="M98" s="16"/>
    </row>
    <row r="99" spans="1:13" s="11" customFormat="1" ht="13.5" thickBot="1">
      <c r="A99" s="247"/>
      <c r="B99" s="37" t="s">
        <v>233</v>
      </c>
      <c r="C99" s="38">
        <f aca="true" t="shared" si="17" ref="C99:K99">SUM(C63:C98)</f>
        <v>1450512</v>
      </c>
      <c r="D99" s="38">
        <f t="shared" si="17"/>
        <v>1487375</v>
      </c>
      <c r="E99" s="38">
        <f t="shared" si="17"/>
        <v>-4387</v>
      </c>
      <c r="F99" s="38">
        <f t="shared" si="17"/>
        <v>0</v>
      </c>
      <c r="G99" s="38">
        <f t="shared" si="17"/>
        <v>113037</v>
      </c>
      <c r="H99" s="38">
        <f t="shared" si="17"/>
        <v>0</v>
      </c>
      <c r="I99" s="38">
        <f t="shared" si="17"/>
        <v>296245</v>
      </c>
      <c r="J99" s="38">
        <f>SUM(J63:J98)-1</f>
        <v>0</v>
      </c>
      <c r="K99" s="38">
        <f t="shared" si="17"/>
        <v>1892271</v>
      </c>
      <c r="L99" s="10"/>
      <c r="M99" s="10"/>
    </row>
    <row r="100" spans="1:11" ht="12.75">
      <c r="A100" s="49"/>
      <c r="B100" s="40"/>
      <c r="C100" s="24"/>
      <c r="D100" s="25"/>
      <c r="E100" s="26"/>
      <c r="F100" s="24"/>
      <c r="G100" s="26"/>
      <c r="H100" s="24"/>
      <c r="I100" s="94"/>
      <c r="J100" s="116"/>
      <c r="K100" s="25"/>
    </row>
    <row r="101" spans="1:11" ht="12.75">
      <c r="A101" s="49" t="s">
        <v>173</v>
      </c>
      <c r="B101" s="3" t="s">
        <v>42</v>
      </c>
      <c r="C101" s="24">
        <v>88565</v>
      </c>
      <c r="D101" s="25">
        <v>88565</v>
      </c>
      <c r="E101" s="26">
        <v>-261</v>
      </c>
      <c r="F101" s="24">
        <v>0</v>
      </c>
      <c r="G101" s="24">
        <v>0</v>
      </c>
      <c r="H101" s="24">
        <v>0</v>
      </c>
      <c r="I101" s="24">
        <v>0</v>
      </c>
      <c r="J101" s="116">
        <v>99</v>
      </c>
      <c r="K101" s="25">
        <f aca="true" t="shared" si="18" ref="K101:K106">SUM(D101:J101)</f>
        <v>88403</v>
      </c>
    </row>
    <row r="102" spans="1:11" ht="12.75">
      <c r="A102" s="49"/>
      <c r="B102" s="3" t="s">
        <v>43</v>
      </c>
      <c r="C102" s="24">
        <v>80211</v>
      </c>
      <c r="D102" s="25">
        <v>80211</v>
      </c>
      <c r="E102" s="26">
        <v>-237</v>
      </c>
      <c r="F102" s="24">
        <v>0</v>
      </c>
      <c r="G102" s="24">
        <v>0</v>
      </c>
      <c r="H102" s="24">
        <v>0</v>
      </c>
      <c r="I102" s="24">
        <v>0</v>
      </c>
      <c r="J102" s="116">
        <v>-99</v>
      </c>
      <c r="K102" s="25">
        <f t="shared" si="18"/>
        <v>79875</v>
      </c>
    </row>
    <row r="103" spans="1:11" ht="12.75">
      <c r="A103" s="49"/>
      <c r="B103" s="3" t="s">
        <v>44</v>
      </c>
      <c r="C103" s="24">
        <v>22299</v>
      </c>
      <c r="D103" s="25">
        <v>25579</v>
      </c>
      <c r="E103" s="26">
        <v>-75</v>
      </c>
      <c r="F103" s="24">
        <v>0</v>
      </c>
      <c r="G103" s="24">
        <v>0</v>
      </c>
      <c r="H103" s="24">
        <v>0</v>
      </c>
      <c r="I103" s="24">
        <v>0</v>
      </c>
      <c r="J103" s="116">
        <v>-5100</v>
      </c>
      <c r="K103" s="25">
        <f t="shared" si="18"/>
        <v>20404</v>
      </c>
    </row>
    <row r="104" spans="1:11" ht="12.75">
      <c r="A104" s="49"/>
      <c r="B104" s="3" t="s">
        <v>45</v>
      </c>
      <c r="C104" s="24">
        <v>38702</v>
      </c>
      <c r="D104" s="25">
        <v>38702</v>
      </c>
      <c r="E104" s="26">
        <v>-114</v>
      </c>
      <c r="F104" s="24">
        <v>0</v>
      </c>
      <c r="G104" s="24">
        <v>0</v>
      </c>
      <c r="H104" s="24">
        <v>0</v>
      </c>
      <c r="I104" s="24">
        <v>0</v>
      </c>
      <c r="J104" s="116">
        <v>0</v>
      </c>
      <c r="K104" s="25">
        <f t="shared" si="18"/>
        <v>38588</v>
      </c>
    </row>
    <row r="105" spans="1:11" ht="12.75">
      <c r="A105" s="49"/>
      <c r="B105" s="3" t="s">
        <v>199</v>
      </c>
      <c r="C105" s="24">
        <v>37784</v>
      </c>
      <c r="D105" s="25">
        <v>37784</v>
      </c>
      <c r="E105" s="26">
        <v>-111</v>
      </c>
      <c r="F105" s="24">
        <v>0</v>
      </c>
      <c r="G105" s="24">
        <v>0</v>
      </c>
      <c r="H105" s="24">
        <v>0</v>
      </c>
      <c r="I105" s="24">
        <v>0</v>
      </c>
      <c r="J105" s="116">
        <v>0</v>
      </c>
      <c r="K105" s="25">
        <f t="shared" si="18"/>
        <v>37673</v>
      </c>
    </row>
    <row r="106" spans="1:11" ht="13.5" thickBot="1">
      <c r="A106" s="49"/>
      <c r="B106" s="3" t="s">
        <v>46</v>
      </c>
      <c r="C106" s="24">
        <v>199610</v>
      </c>
      <c r="D106" s="25">
        <v>186160</v>
      </c>
      <c r="E106" s="26">
        <v>-549</v>
      </c>
      <c r="F106" s="24">
        <v>0</v>
      </c>
      <c r="G106" s="24">
        <v>0</v>
      </c>
      <c r="H106" s="24">
        <v>0</v>
      </c>
      <c r="I106" s="24">
        <v>0</v>
      </c>
      <c r="J106" s="116">
        <v>5100</v>
      </c>
      <c r="K106" s="25">
        <f t="shared" si="18"/>
        <v>190711</v>
      </c>
    </row>
    <row r="107" spans="1:11" s="11" customFormat="1" ht="13.5" thickBot="1">
      <c r="A107" s="247"/>
      <c r="B107" s="37" t="s">
        <v>234</v>
      </c>
      <c r="C107" s="38">
        <f>SUM(C101:C106)</f>
        <v>467171</v>
      </c>
      <c r="D107" s="38">
        <f aca="true" t="shared" si="19" ref="D107:K107">SUM(D101:D106)</f>
        <v>457001</v>
      </c>
      <c r="E107" s="38">
        <f t="shared" si="19"/>
        <v>-1347</v>
      </c>
      <c r="F107" s="38">
        <f t="shared" si="19"/>
        <v>0</v>
      </c>
      <c r="G107" s="38">
        <f t="shared" si="19"/>
        <v>0</v>
      </c>
      <c r="H107" s="38">
        <f t="shared" si="19"/>
        <v>0</v>
      </c>
      <c r="I107" s="270">
        <f t="shared" si="19"/>
        <v>0</v>
      </c>
      <c r="J107" s="38">
        <f t="shared" si="19"/>
        <v>0</v>
      </c>
      <c r="K107" s="39">
        <f t="shared" si="19"/>
        <v>455654</v>
      </c>
    </row>
    <row r="108" spans="1:11" ht="12.75">
      <c r="A108" s="41"/>
      <c r="B108" s="42"/>
      <c r="C108" s="24"/>
      <c r="D108" s="29"/>
      <c r="E108" s="31"/>
      <c r="F108" s="33"/>
      <c r="G108" s="31"/>
      <c r="H108" s="33"/>
      <c r="I108" s="93"/>
      <c r="J108" s="123"/>
      <c r="K108" s="25"/>
    </row>
    <row r="109" spans="1:11" ht="12.75">
      <c r="A109" s="41" t="s">
        <v>235</v>
      </c>
      <c r="B109" s="3" t="s">
        <v>226</v>
      </c>
      <c r="C109" s="24">
        <v>0</v>
      </c>
      <c r="D109" s="25">
        <v>57100</v>
      </c>
      <c r="E109" s="26">
        <v>-168</v>
      </c>
      <c r="F109" s="24">
        <v>0</v>
      </c>
      <c r="G109" s="26">
        <v>0</v>
      </c>
      <c r="H109" s="24">
        <v>0</v>
      </c>
      <c r="I109" s="26">
        <v>45000</v>
      </c>
      <c r="J109" s="24">
        <v>0</v>
      </c>
      <c r="K109" s="25">
        <f>SUM(D109:J109)</f>
        <v>101932</v>
      </c>
    </row>
    <row r="110" spans="1:11" ht="13.5" thickBot="1">
      <c r="A110" s="41"/>
      <c r="B110" s="3" t="s">
        <v>227</v>
      </c>
      <c r="C110" s="24">
        <v>0</v>
      </c>
      <c r="D110" s="25">
        <v>105000</v>
      </c>
      <c r="E110" s="26">
        <v>-310</v>
      </c>
      <c r="F110" s="24">
        <v>0</v>
      </c>
      <c r="G110" s="26">
        <v>0</v>
      </c>
      <c r="H110" s="269">
        <v>0</v>
      </c>
      <c r="I110" s="26">
        <v>0</v>
      </c>
      <c r="J110" s="269">
        <v>0</v>
      </c>
      <c r="K110" s="25">
        <f>SUM(D110:J110)</f>
        <v>104690</v>
      </c>
    </row>
    <row r="111" spans="1:11" s="11" customFormat="1" ht="13.5" thickBot="1">
      <c r="A111" s="247"/>
      <c r="B111" s="37" t="s">
        <v>279</v>
      </c>
      <c r="C111" s="38">
        <f>SUM(C109:C110)</f>
        <v>0</v>
      </c>
      <c r="D111" s="38">
        <f aca="true" t="shared" si="20" ref="D111:K111">SUM(D109:D110)</f>
        <v>162100</v>
      </c>
      <c r="E111" s="38">
        <f t="shared" si="20"/>
        <v>-478</v>
      </c>
      <c r="F111" s="38">
        <f t="shared" si="20"/>
        <v>0</v>
      </c>
      <c r="G111" s="38">
        <f t="shared" si="20"/>
        <v>0</v>
      </c>
      <c r="H111" s="38">
        <f t="shared" si="20"/>
        <v>0</v>
      </c>
      <c r="I111" s="38">
        <f t="shared" si="20"/>
        <v>45000</v>
      </c>
      <c r="J111" s="38">
        <f t="shared" si="20"/>
        <v>0</v>
      </c>
      <c r="K111" s="38">
        <f t="shared" si="20"/>
        <v>206622</v>
      </c>
    </row>
    <row r="112" spans="1:11" ht="12.75">
      <c r="A112" s="41"/>
      <c r="B112" s="42"/>
      <c r="C112" s="24"/>
      <c r="D112" s="29"/>
      <c r="E112" s="31"/>
      <c r="F112" s="24"/>
      <c r="G112" s="31"/>
      <c r="H112" s="33"/>
      <c r="I112" s="93"/>
      <c r="J112" s="123"/>
      <c r="K112" s="25"/>
    </row>
    <row r="113" spans="1:11" ht="13.5" thickBot="1">
      <c r="A113" s="41"/>
      <c r="B113" s="42"/>
      <c r="C113" s="24"/>
      <c r="D113" s="29"/>
      <c r="E113" s="31"/>
      <c r="F113" s="24"/>
      <c r="G113" s="31"/>
      <c r="H113" s="24"/>
      <c r="I113" s="93"/>
      <c r="J113" s="123"/>
      <c r="K113" s="25"/>
    </row>
    <row r="114" spans="1:11" s="256" customFormat="1" ht="13.5" thickBot="1">
      <c r="A114" s="43" t="s">
        <v>47</v>
      </c>
      <c r="B114" s="44" t="s">
        <v>164</v>
      </c>
      <c r="C114" s="38">
        <v>671379</v>
      </c>
      <c r="D114" s="38">
        <v>648379</v>
      </c>
      <c r="E114" s="218">
        <v>-1912</v>
      </c>
      <c r="F114" s="38">
        <v>0</v>
      </c>
      <c r="G114" s="218">
        <f>1380+4863+19367+5194+38245+55160+166259</f>
        <v>290468</v>
      </c>
      <c r="H114" s="38">
        <v>0</v>
      </c>
      <c r="I114" s="218">
        <f>-2000+300+25000+6400-29911+600+5400</f>
        <v>5789</v>
      </c>
      <c r="J114" s="38">
        <v>0</v>
      </c>
      <c r="K114" s="38">
        <f>SUM(D114:J114)</f>
        <v>942724</v>
      </c>
    </row>
    <row r="115" spans="1:11" s="256" customFormat="1" ht="12.75">
      <c r="A115" s="224"/>
      <c r="B115" s="225"/>
      <c r="C115" s="124"/>
      <c r="D115" s="96"/>
      <c r="E115" s="79"/>
      <c r="F115" s="124"/>
      <c r="G115" s="79"/>
      <c r="H115" s="124"/>
      <c r="I115" s="79"/>
      <c r="J115" s="124"/>
      <c r="K115" s="96"/>
    </row>
    <row r="116" spans="1:11" s="256" customFormat="1" ht="13.5" thickBot="1">
      <c r="A116" s="224"/>
      <c r="B116" s="225"/>
      <c r="C116" s="124"/>
      <c r="D116" s="96"/>
      <c r="E116" s="79"/>
      <c r="F116" s="124"/>
      <c r="G116" s="79"/>
      <c r="H116" s="124"/>
      <c r="I116" s="79"/>
      <c r="J116" s="124"/>
      <c r="K116" s="96"/>
    </row>
    <row r="117" spans="1:11" s="256" customFormat="1" ht="13.5" thickBot="1">
      <c r="A117" s="43" t="s">
        <v>268</v>
      </c>
      <c r="B117" s="44" t="s">
        <v>269</v>
      </c>
      <c r="C117" s="38">
        <v>0</v>
      </c>
      <c r="D117" s="39">
        <v>0</v>
      </c>
      <c r="E117" s="218">
        <v>0</v>
      </c>
      <c r="F117" s="38">
        <v>0</v>
      </c>
      <c r="G117" s="218">
        <v>0</v>
      </c>
      <c r="H117" s="38">
        <v>0</v>
      </c>
      <c r="I117" s="218">
        <v>0</v>
      </c>
      <c r="J117" s="38">
        <v>0</v>
      </c>
      <c r="K117" s="39">
        <v>0</v>
      </c>
    </row>
    <row r="118" spans="1:11" s="256" customFormat="1" ht="12.75">
      <c r="A118" s="224"/>
      <c r="B118" s="225"/>
      <c r="C118" s="124"/>
      <c r="D118" s="96"/>
      <c r="E118" s="79"/>
      <c r="F118" s="124"/>
      <c r="G118" s="79"/>
      <c r="H118" s="124"/>
      <c r="I118" s="79"/>
      <c r="J118" s="124"/>
      <c r="K118" s="96"/>
    </row>
    <row r="119" spans="1:11" s="22" customFormat="1" ht="13.5" thickBot="1">
      <c r="A119" s="224"/>
      <c r="B119" s="225"/>
      <c r="C119" s="116"/>
      <c r="D119" s="59"/>
      <c r="E119" s="94"/>
      <c r="F119" s="116"/>
      <c r="G119" s="94"/>
      <c r="H119" s="116"/>
      <c r="I119" s="94"/>
      <c r="J119" s="116"/>
      <c r="K119" s="96"/>
    </row>
    <row r="120" spans="1:11" s="10" customFormat="1" ht="13.5" thickBot="1">
      <c r="A120" s="43" t="s">
        <v>175</v>
      </c>
      <c r="B120" s="39" t="s">
        <v>59</v>
      </c>
      <c r="C120" s="38">
        <f>SUM(C61+C99+C107+C114+C117)</f>
        <v>3164228</v>
      </c>
      <c r="D120" s="38">
        <f aca="true" t="shared" si="21" ref="D120:I120">SUM(D61+D99+D107+D111+D114)</f>
        <v>3306269</v>
      </c>
      <c r="E120" s="38">
        <f t="shared" si="21"/>
        <v>-9749</v>
      </c>
      <c r="F120" s="38">
        <f t="shared" si="21"/>
        <v>0</v>
      </c>
      <c r="G120" s="38">
        <f t="shared" si="21"/>
        <v>403505</v>
      </c>
      <c r="H120" s="38">
        <f t="shared" si="21"/>
        <v>0</v>
      </c>
      <c r="I120" s="38">
        <f t="shared" si="21"/>
        <v>343573</v>
      </c>
      <c r="J120" s="38">
        <f>SUM(J61+J99+J107+J111+J114)</f>
        <v>0</v>
      </c>
      <c r="K120" s="38">
        <f>SUM(K61+K99+K107+K111+K114+K117)-1</f>
        <v>4043599</v>
      </c>
    </row>
    <row r="121" ht="12.75">
      <c r="A121" s="50"/>
    </row>
    <row r="122" ht="12.75">
      <c r="A122" s="50"/>
    </row>
    <row r="123" ht="12.75">
      <c r="A123" s="50"/>
    </row>
    <row r="124" ht="13.5" thickBot="1">
      <c r="A124" s="50"/>
    </row>
    <row r="125" spans="1:11" s="11" customFormat="1" ht="13.5" thickBot="1">
      <c r="A125" s="267" t="s">
        <v>68</v>
      </c>
      <c r="B125" s="268"/>
      <c r="C125" s="218">
        <v>3164228</v>
      </c>
      <c r="D125" s="218">
        <v>3306269</v>
      </c>
      <c r="E125" s="218">
        <v>-9749</v>
      </c>
      <c r="F125" s="218">
        <v>0</v>
      </c>
      <c r="G125" s="218">
        <v>403505</v>
      </c>
      <c r="H125" s="218">
        <v>0</v>
      </c>
      <c r="I125" s="218">
        <v>343573</v>
      </c>
      <c r="J125" s="218"/>
      <c r="K125" s="39">
        <v>4043599</v>
      </c>
    </row>
  </sheetData>
  <sheetProtection/>
  <printOptions/>
  <pageMargins left="0.7" right="0.7" top="0.75" bottom="0.75" header="0.3" footer="0.3"/>
  <pageSetup fitToHeight="2" fitToWidth="1" horizontalDpi="600" verticalDpi="600" orientation="landscape" scale="53" r:id="rId1"/>
  <headerFooter>
    <oddHeader>&amp;CFY 2009/2010
PROCUREMENT, DEFENSE WIDE
DD 1416
As of 30 June 2010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4"/>
  <sheetViews>
    <sheetView zoomScalePageLayoutView="0" workbookViewId="0" topLeftCell="B1">
      <pane xSplit="3" ySplit="10" topLeftCell="I118" activePane="bottomRight" state="frozen"/>
      <selection pane="topLeft" activeCell="B1" sqref="B1"/>
      <selection pane="topRight" activeCell="E1" sqref="E1"/>
      <selection pane="bottomLeft" activeCell="B11" sqref="B11"/>
      <selection pane="bottomRight" activeCell="B1" sqref="A1:IV16384"/>
    </sheetView>
  </sheetViews>
  <sheetFormatPr defaultColWidth="9.140625" defaultRowHeight="12.75"/>
  <cols>
    <col min="1" max="1" width="51.140625" style="12" customWidth="1"/>
    <col min="2" max="2" width="56.7109375" style="27" customWidth="1"/>
    <col min="3" max="3" width="12.421875" style="27" customWidth="1"/>
    <col min="4" max="4" width="14.57421875" style="27" customWidth="1"/>
    <col min="5" max="5" width="15.8515625" style="27" customWidth="1"/>
    <col min="6" max="6" width="14.7109375" style="27" customWidth="1"/>
    <col min="7" max="7" width="12.7109375" style="27" customWidth="1"/>
    <col min="8" max="8" width="14.7109375" style="27" customWidth="1"/>
    <col min="9" max="9" width="14.140625" style="21" customWidth="1"/>
    <col min="10" max="10" width="14.28125" style="21" customWidth="1"/>
    <col min="11" max="11" width="11.57421875" style="16" customWidth="1"/>
    <col min="12" max="12" width="9.140625" style="27" customWidth="1"/>
    <col min="13" max="13" width="9.7109375" style="27" bestFit="1" customWidth="1"/>
    <col min="14" max="16384" width="9.140625" style="27" customWidth="1"/>
  </cols>
  <sheetData>
    <row r="2" spans="4:10" ht="12.75">
      <c r="D2" s="227"/>
      <c r="H2" s="227"/>
      <c r="J2" s="249"/>
    </row>
    <row r="3" spans="2:10" ht="12.75">
      <c r="B3" s="21"/>
      <c r="D3" s="227"/>
      <c r="E3" s="69"/>
      <c r="H3" s="227"/>
      <c r="J3" s="249"/>
    </row>
    <row r="4" spans="4:10" ht="13.5" thickBot="1">
      <c r="D4" s="227"/>
      <c r="E4" s="112"/>
      <c r="G4" s="227"/>
      <c r="H4" s="227"/>
      <c r="I4" s="249"/>
      <c r="J4" s="249"/>
    </row>
    <row r="5" spans="1:11" ht="51" customHeight="1" thickBot="1">
      <c r="A5" s="48" t="s">
        <v>165</v>
      </c>
      <c r="B5" s="47" t="s">
        <v>166</v>
      </c>
      <c r="C5" s="53" t="s">
        <v>50</v>
      </c>
      <c r="D5" s="55" t="s">
        <v>51</v>
      </c>
      <c r="E5" s="53" t="s">
        <v>52</v>
      </c>
      <c r="F5" s="54" t="s">
        <v>53</v>
      </c>
      <c r="G5" s="54" t="s">
        <v>54</v>
      </c>
      <c r="H5" s="54" t="s">
        <v>55</v>
      </c>
      <c r="I5" s="54" t="s">
        <v>56</v>
      </c>
      <c r="J5" s="54" t="s">
        <v>57</v>
      </c>
      <c r="K5" s="219" t="s">
        <v>58</v>
      </c>
    </row>
    <row r="6" spans="1:11" ht="12.75">
      <c r="A6" s="244"/>
      <c r="B6" s="29"/>
      <c r="C6" s="30"/>
      <c r="D6" s="29"/>
      <c r="E6" s="31"/>
      <c r="F6" s="30"/>
      <c r="G6" s="31"/>
      <c r="H6" s="30"/>
      <c r="I6" s="93"/>
      <c r="J6" s="122"/>
      <c r="K6" s="25"/>
    </row>
    <row r="7" spans="1:11" ht="12.75">
      <c r="A7" s="50"/>
      <c r="B7" s="32"/>
      <c r="C7" s="33"/>
      <c r="D7" s="29"/>
      <c r="E7" s="31"/>
      <c r="F7" s="33"/>
      <c r="G7" s="31"/>
      <c r="H7" s="33"/>
      <c r="I7" s="93"/>
      <c r="J7" s="123"/>
      <c r="K7" s="25"/>
    </row>
    <row r="8" spans="1:11" ht="12.75">
      <c r="A8" s="50" t="s">
        <v>63</v>
      </c>
      <c r="B8" s="7" t="s">
        <v>12</v>
      </c>
      <c r="C8" s="24">
        <v>105946</v>
      </c>
      <c r="D8" s="25">
        <v>105946</v>
      </c>
      <c r="E8" s="26">
        <v>-312</v>
      </c>
      <c r="F8" s="24">
        <v>0</v>
      </c>
      <c r="G8" s="26">
        <v>0</v>
      </c>
      <c r="H8" s="24">
        <v>0</v>
      </c>
      <c r="I8" s="94">
        <f>-2273-27</f>
        <v>-2300</v>
      </c>
      <c r="J8" s="116">
        <v>0</v>
      </c>
      <c r="K8" s="25">
        <f>SUM(D8:J8)</f>
        <v>103334</v>
      </c>
    </row>
    <row r="9" spans="1:11" s="11" customFormat="1" ht="12.75">
      <c r="A9" s="257"/>
      <c r="B9" s="258" t="s">
        <v>113</v>
      </c>
      <c r="C9" s="260">
        <f aca="true" t="shared" si="0" ref="C9:I9">SUM(C8)</f>
        <v>105946</v>
      </c>
      <c r="D9" s="260">
        <f t="shared" si="0"/>
        <v>105946</v>
      </c>
      <c r="E9" s="260">
        <f t="shared" si="0"/>
        <v>-312</v>
      </c>
      <c r="F9" s="260">
        <f t="shared" si="0"/>
        <v>0</v>
      </c>
      <c r="G9" s="260">
        <f t="shared" si="0"/>
        <v>0</v>
      </c>
      <c r="H9" s="260">
        <f t="shared" si="0"/>
        <v>0</v>
      </c>
      <c r="I9" s="260">
        <f t="shared" si="0"/>
        <v>-2300</v>
      </c>
      <c r="J9" s="260">
        <f>SUM(J8:J8)</f>
        <v>0</v>
      </c>
      <c r="K9" s="260">
        <f>SUM(K8:K8)</f>
        <v>103334</v>
      </c>
    </row>
    <row r="10" spans="1:11" ht="12.75">
      <c r="A10" s="50"/>
      <c r="B10" s="23"/>
      <c r="C10" s="24"/>
      <c r="D10" s="25"/>
      <c r="E10" s="26"/>
      <c r="F10" s="24"/>
      <c r="G10" s="26"/>
      <c r="H10" s="24"/>
      <c r="I10" s="94"/>
      <c r="J10" s="116"/>
      <c r="K10" s="25"/>
    </row>
    <row r="11" spans="1:11" ht="12.75">
      <c r="A11" s="50" t="s">
        <v>65</v>
      </c>
      <c r="B11" t="s">
        <v>116</v>
      </c>
      <c r="C11" s="24">
        <f>SUM('FY 09-11 DD 1416 Tracker-Total'!P18)</f>
        <v>0</v>
      </c>
      <c r="D11" s="25">
        <f>SUM('FY 09-11 DD 1416 Tracker-Total'!J18)</f>
        <v>0</v>
      </c>
      <c r="E11" s="26">
        <f>SUM('FY 09-11 DD 1416 Tracker-Total'!M18)</f>
        <v>0</v>
      </c>
      <c r="F11" s="24">
        <v>0</v>
      </c>
      <c r="G11" s="26">
        <v>0</v>
      </c>
      <c r="H11" s="24">
        <v>0</v>
      </c>
      <c r="I11" s="94">
        <v>0</v>
      </c>
      <c r="J11" s="116">
        <v>0</v>
      </c>
      <c r="K11" s="59">
        <f>SUM(D11:J11)</f>
        <v>0</v>
      </c>
    </row>
    <row r="12" spans="1:11" ht="12.75">
      <c r="A12" s="50"/>
      <c r="B12" t="s">
        <v>12</v>
      </c>
      <c r="C12" s="24">
        <v>26649</v>
      </c>
      <c r="D12" s="25">
        <v>26649</v>
      </c>
      <c r="E12" s="26">
        <v>-79</v>
      </c>
      <c r="F12" s="24">
        <v>0</v>
      </c>
      <c r="G12" s="26">
        <v>0</v>
      </c>
      <c r="H12" s="24">
        <v>0</v>
      </c>
      <c r="I12" s="94">
        <v>0</v>
      </c>
      <c r="J12" s="116">
        <v>0</v>
      </c>
      <c r="K12" s="59">
        <f>SUM(D12:J12)</f>
        <v>26570</v>
      </c>
    </row>
    <row r="13" spans="1:11" s="11" customFormat="1" ht="12.75">
      <c r="A13" s="257"/>
      <c r="B13" s="259" t="s">
        <v>49</v>
      </c>
      <c r="C13" s="260">
        <f>SUM(C11:C12)</f>
        <v>26649</v>
      </c>
      <c r="D13" s="260">
        <f aca="true" t="shared" si="1" ref="D13:K13">SUM(D11:D12)</f>
        <v>26649</v>
      </c>
      <c r="E13" s="260">
        <f t="shared" si="1"/>
        <v>-79</v>
      </c>
      <c r="F13" s="260">
        <f t="shared" si="1"/>
        <v>0</v>
      </c>
      <c r="G13" s="260">
        <f t="shared" si="1"/>
        <v>0</v>
      </c>
      <c r="H13" s="260">
        <f t="shared" si="1"/>
        <v>0</v>
      </c>
      <c r="I13" s="260">
        <f t="shared" si="1"/>
        <v>0</v>
      </c>
      <c r="J13" s="260">
        <f t="shared" si="1"/>
        <v>0</v>
      </c>
      <c r="K13" s="260">
        <f t="shared" si="1"/>
        <v>26570</v>
      </c>
    </row>
    <row r="14" spans="1:11" ht="12.75">
      <c r="A14" s="50"/>
      <c r="B14" s="23"/>
      <c r="C14" s="24"/>
      <c r="D14" s="25"/>
      <c r="E14" s="26"/>
      <c r="F14" s="24"/>
      <c r="G14" s="26"/>
      <c r="H14" s="24"/>
      <c r="I14" s="94"/>
      <c r="J14" s="116"/>
      <c r="K14" s="25"/>
    </row>
    <row r="15" spans="1:11" ht="12.75">
      <c r="A15" s="50" t="s">
        <v>167</v>
      </c>
      <c r="B15" s="3" t="s">
        <v>6</v>
      </c>
      <c r="C15" s="24">
        <v>54934</v>
      </c>
      <c r="D15" s="25">
        <v>48734</v>
      </c>
      <c r="E15" s="26">
        <v>-144</v>
      </c>
      <c r="F15" s="24">
        <v>0</v>
      </c>
      <c r="G15" s="24">
        <v>0</v>
      </c>
      <c r="H15" s="24">
        <v>0</v>
      </c>
      <c r="I15" s="24">
        <v>0</v>
      </c>
      <c r="J15" s="24">
        <f>-1304+595-3000+396+1980</f>
        <v>-1333</v>
      </c>
      <c r="K15" s="59">
        <f>SUM(D15:J15)</f>
        <v>47257</v>
      </c>
    </row>
    <row r="16" spans="1:11" ht="12.75">
      <c r="A16" s="50"/>
      <c r="B16" s="3" t="s">
        <v>248</v>
      </c>
      <c r="C16" s="24">
        <v>10973</v>
      </c>
      <c r="D16" s="25">
        <v>10973</v>
      </c>
      <c r="E16" s="26">
        <v>-32</v>
      </c>
      <c r="F16" s="24">
        <v>0</v>
      </c>
      <c r="G16" s="24">
        <v>0</v>
      </c>
      <c r="H16" s="24">
        <v>0</v>
      </c>
      <c r="I16" s="24"/>
      <c r="J16" s="24">
        <f>-1900-251</f>
        <v>-2151</v>
      </c>
      <c r="K16" s="59">
        <f aca="true" t="shared" si="2" ref="K16:K25">SUM(D16:J16)</f>
        <v>8790</v>
      </c>
    </row>
    <row r="17" spans="1:11" ht="12.75">
      <c r="A17" s="50"/>
      <c r="B17" s="3" t="s">
        <v>7</v>
      </c>
      <c r="C17" s="24">
        <v>2788</v>
      </c>
      <c r="D17" s="25">
        <v>2788</v>
      </c>
      <c r="E17" s="26">
        <v>-8</v>
      </c>
      <c r="F17" s="24">
        <v>0</v>
      </c>
      <c r="G17" s="24">
        <v>0</v>
      </c>
      <c r="H17" s="24">
        <v>0</v>
      </c>
      <c r="I17" s="24">
        <v>200</v>
      </c>
      <c r="J17" s="24">
        <v>-111</v>
      </c>
      <c r="K17" s="59">
        <f t="shared" si="2"/>
        <v>2869</v>
      </c>
    </row>
    <row r="18" spans="1:11" ht="12.75">
      <c r="A18" s="50"/>
      <c r="B18" s="3" t="s">
        <v>8</v>
      </c>
      <c r="C18" s="24">
        <v>15062</v>
      </c>
      <c r="D18" s="25">
        <v>15062</v>
      </c>
      <c r="E18" s="26">
        <v>-44</v>
      </c>
      <c r="F18" s="24">
        <v>0</v>
      </c>
      <c r="G18" s="24">
        <v>0</v>
      </c>
      <c r="H18" s="24">
        <v>0</v>
      </c>
      <c r="I18" s="24">
        <v>0</v>
      </c>
      <c r="J18" s="24">
        <f>400+529-363</f>
        <v>566</v>
      </c>
      <c r="K18" s="59">
        <f t="shared" si="2"/>
        <v>15584</v>
      </c>
    </row>
    <row r="19" spans="1:11" ht="12.75">
      <c r="A19" s="50"/>
      <c r="B19" s="3" t="s">
        <v>9</v>
      </c>
      <c r="C19" s="24">
        <v>121296</v>
      </c>
      <c r="D19" s="25">
        <v>111296</v>
      </c>
      <c r="E19" s="26">
        <v>-328</v>
      </c>
      <c r="F19" s="24">
        <v>0</v>
      </c>
      <c r="G19" s="24">
        <v>0</v>
      </c>
      <c r="H19" s="24">
        <v>0</v>
      </c>
      <c r="I19" s="24">
        <v>0</v>
      </c>
      <c r="J19" s="24">
        <f>3243+1200+9560-925-1271</f>
        <v>11807</v>
      </c>
      <c r="K19" s="59">
        <f t="shared" si="2"/>
        <v>122775</v>
      </c>
    </row>
    <row r="20" spans="1:11" ht="12.75">
      <c r="A20" s="50"/>
      <c r="B20" s="3" t="s">
        <v>10</v>
      </c>
      <c r="C20" s="24">
        <v>36765</v>
      </c>
      <c r="D20" s="25">
        <v>36765</v>
      </c>
      <c r="E20" s="26">
        <v>-108</v>
      </c>
      <c r="F20" s="24">
        <v>0</v>
      </c>
      <c r="G20" s="24">
        <v>0</v>
      </c>
      <c r="H20" s="24">
        <v>0</v>
      </c>
      <c r="I20" s="24">
        <v>0</v>
      </c>
      <c r="J20" s="24">
        <f>-5958-1373</f>
        <v>-7331</v>
      </c>
      <c r="K20" s="59">
        <f t="shared" si="2"/>
        <v>29326</v>
      </c>
    </row>
    <row r="21" spans="1:11" ht="12.75">
      <c r="A21" s="50"/>
      <c r="B21" s="3" t="s">
        <v>197</v>
      </c>
      <c r="C21" s="24">
        <v>90328</v>
      </c>
      <c r="D21" s="25">
        <v>90328</v>
      </c>
      <c r="E21" s="26">
        <v>-266</v>
      </c>
      <c r="F21" s="24">
        <v>0</v>
      </c>
      <c r="G21" s="24">
        <v>0</v>
      </c>
      <c r="H21" s="24">
        <v>0</v>
      </c>
      <c r="I21" s="24">
        <v>0</v>
      </c>
      <c r="J21" s="24">
        <f>4319-595-6499+1729</f>
        <v>-1046</v>
      </c>
      <c r="K21" s="59">
        <f t="shared" si="2"/>
        <v>89016</v>
      </c>
    </row>
    <row r="22" spans="1:11" ht="12.75">
      <c r="A22" s="50"/>
      <c r="B22" s="3" t="s">
        <v>203</v>
      </c>
      <c r="C22" s="24">
        <v>1895</v>
      </c>
      <c r="D22" s="25">
        <v>1894</v>
      </c>
      <c r="E22" s="26">
        <v>-6</v>
      </c>
      <c r="F22" s="24">
        <v>0</v>
      </c>
      <c r="G22" s="24">
        <v>0</v>
      </c>
      <c r="H22" s="24">
        <v>0</v>
      </c>
      <c r="I22" s="24">
        <v>0</v>
      </c>
      <c r="J22" s="24">
        <f>0-60</f>
        <v>-60</v>
      </c>
      <c r="K22" s="59">
        <f t="shared" si="2"/>
        <v>1828</v>
      </c>
    </row>
    <row r="23" spans="1:11" ht="12.75">
      <c r="A23" s="50"/>
      <c r="B23" s="117" t="s">
        <v>184</v>
      </c>
      <c r="C23" s="24">
        <v>0</v>
      </c>
      <c r="D23" s="25">
        <v>0</v>
      </c>
      <c r="E23" s="26">
        <v>0</v>
      </c>
      <c r="F23" s="24">
        <v>0</v>
      </c>
      <c r="G23" s="24">
        <v>0</v>
      </c>
      <c r="H23" s="24">
        <v>0</v>
      </c>
      <c r="I23" s="24">
        <v>1316</v>
      </c>
      <c r="J23" s="24">
        <v>0</v>
      </c>
      <c r="K23" s="59">
        <f t="shared" si="2"/>
        <v>1316</v>
      </c>
    </row>
    <row r="24" spans="1:11" ht="12.75">
      <c r="A24" s="50"/>
      <c r="B24" s="117" t="s">
        <v>212</v>
      </c>
      <c r="C24" s="24">
        <v>7952</v>
      </c>
      <c r="D24" s="25">
        <v>4000</v>
      </c>
      <c r="E24" s="26">
        <v>-12</v>
      </c>
      <c r="F24" s="24">
        <v>0</v>
      </c>
      <c r="G24" s="24">
        <v>0</v>
      </c>
      <c r="H24" s="24">
        <v>0</v>
      </c>
      <c r="I24" s="24">
        <v>0</v>
      </c>
      <c r="J24" s="24">
        <f>0-61-280</f>
        <v>-341</v>
      </c>
      <c r="K24" s="59">
        <f t="shared" si="2"/>
        <v>3647</v>
      </c>
    </row>
    <row r="25" spans="1:11" ht="12.75">
      <c r="A25" s="50"/>
      <c r="B25" s="117" t="s">
        <v>213</v>
      </c>
      <c r="C25" s="24">
        <v>19100</v>
      </c>
      <c r="D25" s="25">
        <v>19100</v>
      </c>
      <c r="E25" s="26">
        <v>-56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59">
        <f t="shared" si="2"/>
        <v>19044</v>
      </c>
    </row>
    <row r="26" spans="1:11" s="11" customFormat="1" ht="12.75">
      <c r="A26" s="257"/>
      <c r="B26" s="259" t="s">
        <v>67</v>
      </c>
      <c r="C26" s="260">
        <f>SUM(C15:C25)-1</f>
        <v>361092</v>
      </c>
      <c r="D26" s="260">
        <f aca="true" t="shared" si="3" ref="D26:K26">SUM(D15:D25)</f>
        <v>340940</v>
      </c>
      <c r="E26" s="261">
        <f t="shared" si="3"/>
        <v>-1004</v>
      </c>
      <c r="F26" s="260">
        <f t="shared" si="3"/>
        <v>0</v>
      </c>
      <c r="G26" s="262">
        <f t="shared" si="3"/>
        <v>0</v>
      </c>
      <c r="H26" s="260">
        <f t="shared" si="3"/>
        <v>0</v>
      </c>
      <c r="I26" s="260">
        <f t="shared" si="3"/>
        <v>1516</v>
      </c>
      <c r="J26" s="260">
        <f t="shared" si="3"/>
        <v>0</v>
      </c>
      <c r="K26" s="260">
        <f t="shared" si="3"/>
        <v>341452</v>
      </c>
    </row>
    <row r="27" spans="1:11" ht="12.75">
      <c r="A27" s="50"/>
      <c r="B27" s="23"/>
      <c r="C27" s="24"/>
      <c r="D27" s="25"/>
      <c r="E27" s="26"/>
      <c r="F27" s="24"/>
      <c r="G27" s="26"/>
      <c r="H27" s="24"/>
      <c r="I27" s="94"/>
      <c r="J27" s="116"/>
      <c r="K27" s="25"/>
    </row>
    <row r="28" spans="1:11" ht="12.75">
      <c r="A28" s="50" t="s">
        <v>61</v>
      </c>
      <c r="B28" t="s">
        <v>12</v>
      </c>
      <c r="C28" s="24">
        <v>8789</v>
      </c>
      <c r="D28" s="25">
        <v>8789</v>
      </c>
      <c r="E28" s="26">
        <v>-26</v>
      </c>
      <c r="F28" s="24">
        <v>0</v>
      </c>
      <c r="G28" s="26">
        <v>0</v>
      </c>
      <c r="H28" s="24">
        <v>0</v>
      </c>
      <c r="I28" s="94">
        <v>0</v>
      </c>
      <c r="J28" s="116">
        <v>0</v>
      </c>
      <c r="K28" s="59">
        <f>SUM(D28:J28)</f>
        <v>8763</v>
      </c>
    </row>
    <row r="29" spans="1:11" ht="12.75">
      <c r="A29" s="257"/>
      <c r="B29" s="259" t="s">
        <v>117</v>
      </c>
      <c r="C29" s="260">
        <f>SUM(C28)</f>
        <v>8789</v>
      </c>
      <c r="D29" s="260">
        <f aca="true" t="shared" si="4" ref="D29:K29">SUM(D28)</f>
        <v>8789</v>
      </c>
      <c r="E29" s="260">
        <f t="shared" si="4"/>
        <v>-26</v>
      </c>
      <c r="F29" s="260">
        <f t="shared" si="4"/>
        <v>0</v>
      </c>
      <c r="G29" s="260">
        <f t="shared" si="4"/>
        <v>0</v>
      </c>
      <c r="H29" s="260">
        <f t="shared" si="4"/>
        <v>0</v>
      </c>
      <c r="I29" s="260">
        <f t="shared" si="4"/>
        <v>0</v>
      </c>
      <c r="J29" s="260">
        <f t="shared" si="4"/>
        <v>0</v>
      </c>
      <c r="K29" s="260">
        <f t="shared" si="4"/>
        <v>8763</v>
      </c>
    </row>
    <row r="30" spans="1:11" ht="12.75">
      <c r="A30" s="50"/>
      <c r="B30" s="34"/>
      <c r="C30" s="24"/>
      <c r="D30" s="25"/>
      <c r="E30" s="26"/>
      <c r="F30" s="24"/>
      <c r="G30" s="26"/>
      <c r="H30" s="24"/>
      <c r="I30" s="94"/>
      <c r="J30" s="116"/>
      <c r="K30" s="25"/>
    </row>
    <row r="31" spans="1:11" ht="12.75">
      <c r="A31" s="50" t="s">
        <v>60</v>
      </c>
      <c r="B31" t="s">
        <v>118</v>
      </c>
      <c r="C31" s="24">
        <v>1523</v>
      </c>
      <c r="D31" s="25">
        <v>3923</v>
      </c>
      <c r="E31" s="26">
        <v>-12</v>
      </c>
      <c r="F31" s="24">
        <v>0</v>
      </c>
      <c r="G31" s="26">
        <v>0</v>
      </c>
      <c r="H31" s="24">
        <v>0</v>
      </c>
      <c r="I31" s="94">
        <v>-2400</v>
      </c>
      <c r="J31" s="116">
        <v>0</v>
      </c>
      <c r="K31" s="59">
        <f>SUM(D31:J31)</f>
        <v>1511</v>
      </c>
    </row>
    <row r="32" spans="1:11" s="11" customFormat="1" ht="12.75">
      <c r="A32" s="257"/>
      <c r="B32" s="259" t="s">
        <v>119</v>
      </c>
      <c r="C32" s="260">
        <f>SUM(C31)</f>
        <v>1523</v>
      </c>
      <c r="D32" s="260">
        <f aca="true" t="shared" si="5" ref="D32:K32">SUM(D31)</f>
        <v>3923</v>
      </c>
      <c r="E32" s="260">
        <f t="shared" si="5"/>
        <v>-12</v>
      </c>
      <c r="F32" s="260">
        <f t="shared" si="5"/>
        <v>0</v>
      </c>
      <c r="G32" s="260">
        <f t="shared" si="5"/>
        <v>0</v>
      </c>
      <c r="H32" s="260">
        <f t="shared" si="5"/>
        <v>0</v>
      </c>
      <c r="I32" s="260">
        <f t="shared" si="5"/>
        <v>-2400</v>
      </c>
      <c r="J32" s="260">
        <f t="shared" si="5"/>
        <v>0</v>
      </c>
      <c r="K32" s="260">
        <f t="shared" si="5"/>
        <v>1511</v>
      </c>
    </row>
    <row r="33" spans="1:11" ht="12.75">
      <c r="A33" s="50"/>
      <c r="B33" s="34"/>
      <c r="C33" s="24"/>
      <c r="D33" s="25"/>
      <c r="E33" s="26"/>
      <c r="F33" s="24"/>
      <c r="G33" s="26"/>
      <c r="H33" s="24"/>
      <c r="I33" s="94"/>
      <c r="J33" s="116"/>
      <c r="K33" s="25"/>
    </row>
    <row r="34" spans="1:11" ht="12.75">
      <c r="A34" s="50" t="s">
        <v>64</v>
      </c>
      <c r="B34" t="s">
        <v>12</v>
      </c>
      <c r="C34" s="24">
        <v>25897</v>
      </c>
      <c r="D34" s="25">
        <v>25897</v>
      </c>
      <c r="E34" s="26">
        <v>-86</v>
      </c>
      <c r="F34" s="24">
        <v>0</v>
      </c>
      <c r="G34" s="26">
        <v>0</v>
      </c>
      <c r="H34" s="24">
        <v>0</v>
      </c>
      <c r="I34" s="94">
        <f>-276-1</f>
        <v>-277</v>
      </c>
      <c r="J34" s="116">
        <v>0</v>
      </c>
      <c r="K34" s="59">
        <f>SUM(D34:J34)+2-1</f>
        <v>25535</v>
      </c>
    </row>
    <row r="35" spans="1:11" s="11" customFormat="1" ht="12.75">
      <c r="A35" s="257"/>
      <c r="B35" s="259" t="s">
        <v>121</v>
      </c>
      <c r="C35" s="260">
        <f>SUM(C34)</f>
        <v>25897</v>
      </c>
      <c r="D35" s="260">
        <f aca="true" t="shared" si="6" ref="D35:K35">SUM(D34)</f>
        <v>25897</v>
      </c>
      <c r="E35" s="260">
        <f t="shared" si="6"/>
        <v>-86</v>
      </c>
      <c r="F35" s="260">
        <f t="shared" si="6"/>
        <v>0</v>
      </c>
      <c r="G35" s="260">
        <f t="shared" si="6"/>
        <v>0</v>
      </c>
      <c r="H35" s="260">
        <f t="shared" si="6"/>
        <v>0</v>
      </c>
      <c r="I35" s="260">
        <f t="shared" si="6"/>
        <v>-277</v>
      </c>
      <c r="J35" s="260">
        <f t="shared" si="6"/>
        <v>0</v>
      </c>
      <c r="K35" s="260">
        <f t="shared" si="6"/>
        <v>25535</v>
      </c>
    </row>
    <row r="36" spans="1:11" ht="12.75">
      <c r="A36" s="50"/>
      <c r="B36" s="34"/>
      <c r="C36" s="24"/>
      <c r="D36" s="25"/>
      <c r="E36" s="26"/>
      <c r="F36" s="24"/>
      <c r="G36" s="26"/>
      <c r="H36" s="24"/>
      <c r="I36" s="94"/>
      <c r="J36" s="116"/>
      <c r="K36" s="25"/>
    </row>
    <row r="37" spans="1:11" ht="12.75">
      <c r="A37" s="50" t="s">
        <v>168</v>
      </c>
      <c r="B37" t="s">
        <v>15</v>
      </c>
      <c r="C37" s="24">
        <v>19214</v>
      </c>
      <c r="D37" s="25">
        <v>10014</v>
      </c>
      <c r="E37" s="26">
        <v>-30</v>
      </c>
      <c r="F37" s="24">
        <v>0</v>
      </c>
      <c r="G37" s="26">
        <v>0</v>
      </c>
      <c r="H37" s="24">
        <v>0</v>
      </c>
      <c r="I37" s="94">
        <v>0</v>
      </c>
      <c r="J37" s="116">
        <v>0</v>
      </c>
      <c r="K37" s="59">
        <f>SUM(D37:J37)</f>
        <v>9984</v>
      </c>
    </row>
    <row r="38" spans="1:11" s="11" customFormat="1" ht="12.75">
      <c r="A38" s="257"/>
      <c r="B38" s="259" t="s">
        <v>122</v>
      </c>
      <c r="C38" s="260">
        <f>SUM(C37)</f>
        <v>19214</v>
      </c>
      <c r="D38" s="260">
        <f aca="true" t="shared" si="7" ref="D38:K38">SUM(D37)</f>
        <v>10014</v>
      </c>
      <c r="E38" s="260">
        <f t="shared" si="7"/>
        <v>-30</v>
      </c>
      <c r="F38" s="260">
        <f t="shared" si="7"/>
        <v>0</v>
      </c>
      <c r="G38" s="260">
        <f t="shared" si="7"/>
        <v>0</v>
      </c>
      <c r="H38" s="260">
        <f t="shared" si="7"/>
        <v>0</v>
      </c>
      <c r="I38" s="260">
        <f t="shared" si="7"/>
        <v>0</v>
      </c>
      <c r="J38" s="260">
        <f t="shared" si="7"/>
        <v>0</v>
      </c>
      <c r="K38" s="260">
        <f t="shared" si="7"/>
        <v>9984</v>
      </c>
    </row>
    <row r="39" spans="1:11" ht="12.75">
      <c r="A39" s="50"/>
      <c r="B39" s="35"/>
      <c r="C39" s="24"/>
      <c r="D39" s="25"/>
      <c r="E39" s="26"/>
      <c r="F39" s="24"/>
      <c r="G39" s="26"/>
      <c r="H39" s="24"/>
      <c r="I39" s="94"/>
      <c r="J39" s="116"/>
      <c r="K39" s="25"/>
    </row>
    <row r="40" spans="1:11" ht="12.75">
      <c r="A40" s="50" t="s">
        <v>62</v>
      </c>
      <c r="B40" t="s">
        <v>17</v>
      </c>
      <c r="C40" s="24">
        <v>5621</v>
      </c>
      <c r="D40" s="25">
        <v>8821</v>
      </c>
      <c r="E40" s="26">
        <v>-17</v>
      </c>
      <c r="F40" s="24">
        <v>0</v>
      </c>
      <c r="G40" s="26">
        <v>0</v>
      </c>
      <c r="H40" s="24">
        <v>0</v>
      </c>
      <c r="I40" s="94">
        <v>0</v>
      </c>
      <c r="J40" s="116">
        <v>0</v>
      </c>
      <c r="K40" s="59">
        <f>SUM(D40:J40)</f>
        <v>8804</v>
      </c>
    </row>
    <row r="41" spans="1:11" s="11" customFormat="1" ht="12.75">
      <c r="A41" s="257"/>
      <c r="B41" s="259" t="s">
        <v>66</v>
      </c>
      <c r="C41" s="260">
        <f>SUM(C40)</f>
        <v>5621</v>
      </c>
      <c r="D41" s="260">
        <f aca="true" t="shared" si="8" ref="D41:K41">SUM(D40)</f>
        <v>8821</v>
      </c>
      <c r="E41" s="260">
        <f t="shared" si="8"/>
        <v>-17</v>
      </c>
      <c r="F41" s="260">
        <f t="shared" si="8"/>
        <v>0</v>
      </c>
      <c r="G41" s="260">
        <f t="shared" si="8"/>
        <v>0</v>
      </c>
      <c r="H41" s="260">
        <f t="shared" si="8"/>
        <v>0</v>
      </c>
      <c r="I41" s="260">
        <f t="shared" si="8"/>
        <v>0</v>
      </c>
      <c r="J41" s="260">
        <f t="shared" si="8"/>
        <v>0</v>
      </c>
      <c r="K41" s="260">
        <f t="shared" si="8"/>
        <v>8804</v>
      </c>
    </row>
    <row r="42" spans="1:11" ht="12.75">
      <c r="A42" s="50"/>
      <c r="B42" s="23"/>
      <c r="C42" s="24"/>
      <c r="D42" s="25"/>
      <c r="E42" s="26"/>
      <c r="F42" s="24"/>
      <c r="G42" s="26"/>
      <c r="H42" s="24"/>
      <c r="I42" s="94"/>
      <c r="J42" s="116"/>
      <c r="K42" s="25"/>
    </row>
    <row r="43" spans="1:11" ht="12.75">
      <c r="A43" s="50" t="s">
        <v>169</v>
      </c>
      <c r="B43" t="s">
        <v>12</v>
      </c>
      <c r="C43" s="24">
        <v>11158</v>
      </c>
      <c r="D43" s="25">
        <v>11158</v>
      </c>
      <c r="E43" s="26">
        <v>-33</v>
      </c>
      <c r="F43" s="24">
        <v>0</v>
      </c>
      <c r="G43" s="26">
        <v>0</v>
      </c>
      <c r="H43" s="24">
        <v>0</v>
      </c>
      <c r="I43" s="94">
        <v>0</v>
      </c>
      <c r="J43" s="116">
        <v>0</v>
      </c>
      <c r="K43" s="59">
        <f>SUM(D43:J43)</f>
        <v>11125</v>
      </c>
    </row>
    <row r="44" spans="1:11" s="11" customFormat="1" ht="12.75">
      <c r="A44" s="257"/>
      <c r="B44" s="259" t="s">
        <v>123</v>
      </c>
      <c r="C44" s="260">
        <f>SUM(C43)</f>
        <v>11158</v>
      </c>
      <c r="D44" s="260">
        <f aca="true" t="shared" si="9" ref="D44:K44">SUM(D43)</f>
        <v>11158</v>
      </c>
      <c r="E44" s="260">
        <f t="shared" si="9"/>
        <v>-33</v>
      </c>
      <c r="F44" s="260">
        <f t="shared" si="9"/>
        <v>0</v>
      </c>
      <c r="G44" s="260">
        <f t="shared" si="9"/>
        <v>0</v>
      </c>
      <c r="H44" s="260">
        <f t="shared" si="9"/>
        <v>0</v>
      </c>
      <c r="I44" s="260">
        <f t="shared" si="9"/>
        <v>0</v>
      </c>
      <c r="J44" s="260">
        <f t="shared" si="9"/>
        <v>0</v>
      </c>
      <c r="K44" s="260">
        <f t="shared" si="9"/>
        <v>11125</v>
      </c>
    </row>
    <row r="45" spans="1:11" ht="12.75">
      <c r="A45" s="50"/>
      <c r="B45" s="23"/>
      <c r="C45" s="24"/>
      <c r="D45" s="25"/>
      <c r="E45" s="26"/>
      <c r="F45" s="24"/>
      <c r="G45" s="26"/>
      <c r="H45" s="24"/>
      <c r="I45" s="94"/>
      <c r="J45" s="116"/>
      <c r="K45" s="25"/>
    </row>
    <row r="46" spans="1:11" ht="12.75">
      <c r="A46" s="50" t="s">
        <v>170</v>
      </c>
      <c r="B46" t="s">
        <v>124</v>
      </c>
      <c r="C46" s="24">
        <v>1498</v>
      </c>
      <c r="D46" s="25">
        <v>1498</v>
      </c>
      <c r="E46" s="26">
        <v>-4</v>
      </c>
      <c r="F46" s="24">
        <v>0</v>
      </c>
      <c r="G46" s="26">
        <v>0</v>
      </c>
      <c r="H46" s="24">
        <v>0</v>
      </c>
      <c r="I46" s="94">
        <v>0</v>
      </c>
      <c r="J46" s="116">
        <v>0</v>
      </c>
      <c r="K46" s="59">
        <f>SUM(D46:J46)</f>
        <v>1494</v>
      </c>
    </row>
    <row r="47" spans="1:11" s="11" customFormat="1" ht="12.75">
      <c r="A47" s="257"/>
      <c r="B47" s="259" t="s">
        <v>125</v>
      </c>
      <c r="C47" s="260">
        <f>SUM(C46)</f>
        <v>1498</v>
      </c>
      <c r="D47" s="260">
        <f aca="true" t="shared" si="10" ref="D47:K47">SUM(D46)</f>
        <v>1498</v>
      </c>
      <c r="E47" s="260">
        <f t="shared" si="10"/>
        <v>-4</v>
      </c>
      <c r="F47" s="260">
        <f t="shared" si="10"/>
        <v>0</v>
      </c>
      <c r="G47" s="260">
        <f t="shared" si="10"/>
        <v>0</v>
      </c>
      <c r="H47" s="260">
        <f t="shared" si="10"/>
        <v>0</v>
      </c>
      <c r="I47" s="260">
        <f t="shared" si="10"/>
        <v>0</v>
      </c>
      <c r="J47" s="260">
        <f t="shared" si="10"/>
        <v>0</v>
      </c>
      <c r="K47" s="260">
        <f t="shared" si="10"/>
        <v>1494</v>
      </c>
    </row>
    <row r="48" spans="1:11" ht="12.75">
      <c r="A48" s="50"/>
      <c r="B48" s="34"/>
      <c r="C48" s="24"/>
      <c r="D48" s="25"/>
      <c r="E48" s="26"/>
      <c r="F48" s="24"/>
      <c r="G48" s="26"/>
      <c r="H48" s="24"/>
      <c r="I48" s="94"/>
      <c r="J48" s="116"/>
      <c r="K48" s="25"/>
    </row>
    <row r="49" spans="1:11" ht="12.75">
      <c r="A49" s="50" t="s">
        <v>171</v>
      </c>
      <c r="B49" t="s">
        <v>12</v>
      </c>
      <c r="C49" s="24">
        <v>2149</v>
      </c>
      <c r="D49" s="25">
        <v>2149</v>
      </c>
      <c r="E49" s="26">
        <v>-6</v>
      </c>
      <c r="F49" s="24">
        <v>0</v>
      </c>
      <c r="G49" s="26">
        <v>0</v>
      </c>
      <c r="H49" s="24">
        <v>0</v>
      </c>
      <c r="I49" s="94">
        <v>0</v>
      </c>
      <c r="J49" s="116">
        <v>0</v>
      </c>
      <c r="K49" s="59">
        <f>SUM(D49:J49)</f>
        <v>2143</v>
      </c>
    </row>
    <row r="50" spans="1:11" s="11" customFormat="1" ht="12.75">
      <c r="A50" s="257"/>
      <c r="B50" s="259" t="s">
        <v>126</v>
      </c>
      <c r="C50" s="260">
        <f>SUM(C49)</f>
        <v>2149</v>
      </c>
      <c r="D50" s="260">
        <f aca="true" t="shared" si="11" ref="D50:K50">SUM(D49)</f>
        <v>2149</v>
      </c>
      <c r="E50" s="260">
        <f t="shared" si="11"/>
        <v>-6</v>
      </c>
      <c r="F50" s="260">
        <f t="shared" si="11"/>
        <v>0</v>
      </c>
      <c r="G50" s="260">
        <f t="shared" si="11"/>
        <v>0</v>
      </c>
      <c r="H50" s="260">
        <f t="shared" si="11"/>
        <v>0</v>
      </c>
      <c r="I50" s="260">
        <f t="shared" si="11"/>
        <v>0</v>
      </c>
      <c r="J50" s="260">
        <f t="shared" si="11"/>
        <v>0</v>
      </c>
      <c r="K50" s="260">
        <f t="shared" si="11"/>
        <v>2143</v>
      </c>
    </row>
    <row r="51" spans="1:11" ht="12.75">
      <c r="A51" s="50"/>
      <c r="B51" s="23"/>
      <c r="C51" s="24"/>
      <c r="D51" s="25"/>
      <c r="E51" s="26"/>
      <c r="F51" s="24"/>
      <c r="G51" s="26"/>
      <c r="H51" s="24"/>
      <c r="I51" s="94"/>
      <c r="J51" s="116"/>
      <c r="K51" s="25"/>
    </row>
    <row r="52" spans="1:11" ht="12.75">
      <c r="A52" s="50" t="s">
        <v>172</v>
      </c>
      <c r="B52" t="s">
        <v>12</v>
      </c>
      <c r="C52" s="24">
        <v>689</v>
      </c>
      <c r="D52" s="25">
        <v>689</v>
      </c>
      <c r="E52" s="26">
        <v>-2</v>
      </c>
      <c r="F52" s="24">
        <v>0</v>
      </c>
      <c r="G52" s="26">
        <v>0</v>
      </c>
      <c r="H52" s="24">
        <v>0</v>
      </c>
      <c r="I52" s="94">
        <v>0</v>
      </c>
      <c r="J52" s="116">
        <v>0</v>
      </c>
      <c r="K52" s="59">
        <f>SUM(D52:J52)</f>
        <v>687</v>
      </c>
    </row>
    <row r="53" spans="1:11" s="11" customFormat="1" ht="12.75">
      <c r="A53" s="257"/>
      <c r="B53" s="259" t="s">
        <v>127</v>
      </c>
      <c r="C53" s="260">
        <f>SUM(C52)</f>
        <v>689</v>
      </c>
      <c r="D53" s="260">
        <f aca="true" t="shared" si="12" ref="D53:K53">SUM(D52)</f>
        <v>689</v>
      </c>
      <c r="E53" s="260">
        <f t="shared" si="12"/>
        <v>-2</v>
      </c>
      <c r="F53" s="260">
        <f t="shared" si="12"/>
        <v>0</v>
      </c>
      <c r="G53" s="260">
        <f t="shared" si="12"/>
        <v>0</v>
      </c>
      <c r="H53" s="260">
        <f t="shared" si="12"/>
        <v>0</v>
      </c>
      <c r="I53" s="260">
        <f t="shared" si="12"/>
        <v>0</v>
      </c>
      <c r="J53" s="260">
        <f t="shared" si="12"/>
        <v>0</v>
      </c>
      <c r="K53" s="260">
        <f t="shared" si="12"/>
        <v>687</v>
      </c>
    </row>
    <row r="54" spans="1:11" s="11" customFormat="1" ht="12.75">
      <c r="A54" s="50"/>
      <c r="C54" s="56"/>
      <c r="D54" s="56"/>
      <c r="E54" s="56"/>
      <c r="F54" s="56"/>
      <c r="G54" s="56"/>
      <c r="H54" s="56"/>
      <c r="I54" s="124"/>
      <c r="J54" s="124"/>
      <c r="K54" s="56"/>
    </row>
    <row r="55" spans="1:11" s="11" customFormat="1" ht="12.75">
      <c r="A55" s="50" t="s">
        <v>205</v>
      </c>
      <c r="B55" s="27" t="s">
        <v>206</v>
      </c>
      <c r="C55" s="24">
        <v>436</v>
      </c>
      <c r="D55" s="25">
        <v>436</v>
      </c>
      <c r="E55" s="26">
        <v>-1</v>
      </c>
      <c r="F55" s="24">
        <v>0</v>
      </c>
      <c r="G55" s="26">
        <v>0</v>
      </c>
      <c r="H55" s="24">
        <v>0</v>
      </c>
      <c r="I55" s="94">
        <v>0</v>
      </c>
      <c r="J55" s="116">
        <v>0</v>
      </c>
      <c r="K55" s="59">
        <f>SUM(D55:J55)</f>
        <v>435</v>
      </c>
    </row>
    <row r="56" spans="1:11" s="11" customFormat="1" ht="12.75">
      <c r="A56" s="257"/>
      <c r="B56" s="259" t="s">
        <v>204</v>
      </c>
      <c r="C56" s="260">
        <f>SUM(C55)</f>
        <v>436</v>
      </c>
      <c r="D56" s="260">
        <f aca="true" t="shared" si="13" ref="D56:K56">SUM(D55)</f>
        <v>436</v>
      </c>
      <c r="E56" s="260">
        <f t="shared" si="13"/>
        <v>-1</v>
      </c>
      <c r="F56" s="260">
        <f t="shared" si="13"/>
        <v>0</v>
      </c>
      <c r="G56" s="260">
        <f t="shared" si="13"/>
        <v>0</v>
      </c>
      <c r="H56" s="260">
        <f t="shared" si="13"/>
        <v>0</v>
      </c>
      <c r="I56" s="260">
        <f t="shared" si="13"/>
        <v>0</v>
      </c>
      <c r="J56" s="260">
        <f t="shared" si="13"/>
        <v>0</v>
      </c>
      <c r="K56" s="260">
        <f t="shared" si="13"/>
        <v>435</v>
      </c>
    </row>
    <row r="57" spans="1:11" s="11" customFormat="1" ht="12.75">
      <c r="A57" s="50"/>
      <c r="C57" s="56"/>
      <c r="D57" s="56"/>
      <c r="E57" s="56"/>
      <c r="F57" s="56"/>
      <c r="G57" s="56"/>
      <c r="H57" s="56"/>
      <c r="I57" s="124"/>
      <c r="J57" s="124"/>
      <c r="K57" s="56"/>
    </row>
    <row r="58" spans="1:11" s="11" customFormat="1" ht="12.75">
      <c r="A58" s="50" t="s">
        <v>179</v>
      </c>
      <c r="B58" s="93" t="s">
        <v>4</v>
      </c>
      <c r="C58" s="116">
        <v>4505</v>
      </c>
      <c r="D58" s="25">
        <v>4505</v>
      </c>
      <c r="E58" s="116">
        <v>-13</v>
      </c>
      <c r="F58" s="116">
        <v>0</v>
      </c>
      <c r="G58" s="26">
        <v>0</v>
      </c>
      <c r="H58" s="116">
        <v>0</v>
      </c>
      <c r="I58" s="94">
        <v>0</v>
      </c>
      <c r="J58" s="116">
        <f>SUM('FY 09-11 DD 1416 Tracker-Total'!AU70)</f>
        <v>0</v>
      </c>
      <c r="K58" s="59">
        <f>SUM(D58:J58)</f>
        <v>4492</v>
      </c>
    </row>
    <row r="59" spans="1:11" s="11" customFormat="1" ht="12.75">
      <c r="A59" s="257"/>
      <c r="B59" s="259" t="s">
        <v>48</v>
      </c>
      <c r="C59" s="260">
        <f aca="true" t="shared" si="14" ref="C59:K59">SUM(C58)</f>
        <v>4505</v>
      </c>
      <c r="D59" s="260">
        <f t="shared" si="14"/>
        <v>4505</v>
      </c>
      <c r="E59" s="260">
        <f t="shared" si="14"/>
        <v>-13</v>
      </c>
      <c r="F59" s="260">
        <f t="shared" si="14"/>
        <v>0</v>
      </c>
      <c r="G59" s="260">
        <f t="shared" si="14"/>
        <v>0</v>
      </c>
      <c r="H59" s="260">
        <f t="shared" si="14"/>
        <v>0</v>
      </c>
      <c r="I59" s="260">
        <f t="shared" si="14"/>
        <v>0</v>
      </c>
      <c r="J59" s="260">
        <f t="shared" si="14"/>
        <v>0</v>
      </c>
      <c r="K59" s="260">
        <f t="shared" si="14"/>
        <v>4492</v>
      </c>
    </row>
    <row r="60" spans="1:11" s="11" customFormat="1" ht="13.5" thickBot="1">
      <c r="A60" s="50"/>
      <c r="C60" s="56"/>
      <c r="D60" s="56"/>
      <c r="E60" s="56"/>
      <c r="F60" s="56"/>
      <c r="G60" s="56"/>
      <c r="H60" s="56"/>
      <c r="I60" s="124"/>
      <c r="J60" s="124"/>
      <c r="K60" s="56"/>
    </row>
    <row r="61" spans="1:11" s="52" customFormat="1" ht="13.5" thickBot="1">
      <c r="A61" s="245"/>
      <c r="B61" s="51" t="s">
        <v>232</v>
      </c>
      <c r="C61" s="38">
        <f>SUM(C9+C13+C26+C29+C32+C35+C38+C41+C44+C47+C50+C53+C56+C59)</f>
        <v>575166</v>
      </c>
      <c r="D61" s="38">
        <f aca="true" t="shared" si="15" ref="D61:K61">SUM(D9+D13+D26+D29+D32+D35+D38+D41+D44+D47+D50+D53+D56+D59)</f>
        <v>551414</v>
      </c>
      <c r="E61" s="38">
        <f t="shared" si="15"/>
        <v>-1625</v>
      </c>
      <c r="F61" s="38">
        <f t="shared" si="15"/>
        <v>0</v>
      </c>
      <c r="G61" s="38">
        <f t="shared" si="15"/>
        <v>0</v>
      </c>
      <c r="H61" s="38">
        <f t="shared" si="15"/>
        <v>0</v>
      </c>
      <c r="I61" s="38">
        <f t="shared" si="15"/>
        <v>-3461</v>
      </c>
      <c r="J61" s="38">
        <f t="shared" si="15"/>
        <v>0</v>
      </c>
      <c r="K61" s="38">
        <f t="shared" si="15"/>
        <v>546329</v>
      </c>
    </row>
    <row r="62" spans="1:11" ht="12.75">
      <c r="A62" s="246"/>
      <c r="B62" s="36"/>
      <c r="C62" s="24"/>
      <c r="D62" s="25"/>
      <c r="E62" s="26"/>
      <c r="F62" s="24"/>
      <c r="G62" s="26"/>
      <c r="H62" s="24"/>
      <c r="I62" s="94"/>
      <c r="J62" s="116"/>
      <c r="K62" s="25"/>
    </row>
    <row r="63" spans="1:13" ht="12.75">
      <c r="A63" s="50" t="s">
        <v>174</v>
      </c>
      <c r="B63" s="3" t="s">
        <v>22</v>
      </c>
      <c r="C63" s="24">
        <v>51950</v>
      </c>
      <c r="D63" s="25">
        <v>89350</v>
      </c>
      <c r="E63" s="26">
        <v>-153</v>
      </c>
      <c r="F63" s="24">
        <v>0</v>
      </c>
      <c r="G63" s="26">
        <v>0</v>
      </c>
      <c r="H63" s="24">
        <v>0</v>
      </c>
      <c r="I63" s="94">
        <v>0</v>
      </c>
      <c r="J63" s="116">
        <f>4194+2128-2678</f>
        <v>3644</v>
      </c>
      <c r="K63" s="59">
        <f>SUM(D63:J63)</f>
        <v>92841</v>
      </c>
      <c r="L63" s="16"/>
      <c r="M63" s="16"/>
    </row>
    <row r="64" spans="1:13" ht="12.75">
      <c r="A64" s="50"/>
      <c r="B64" s="3" t="s">
        <v>254</v>
      </c>
      <c r="C64" s="24">
        <v>63667</v>
      </c>
      <c r="D64" s="25">
        <v>63667</v>
      </c>
      <c r="E64" s="26">
        <v>-188</v>
      </c>
      <c r="F64" s="24">
        <v>0</v>
      </c>
      <c r="G64" s="26">
        <v>0</v>
      </c>
      <c r="H64" s="24">
        <v>0</v>
      </c>
      <c r="I64" s="94">
        <v>366</v>
      </c>
      <c r="J64" s="116">
        <f>11201-2128+2527</f>
        <v>11600</v>
      </c>
      <c r="K64" s="59">
        <f aca="true" t="shared" si="16" ref="K64:K98">SUM(D64:J64)</f>
        <v>75445</v>
      </c>
      <c r="L64" s="16"/>
      <c r="M64" s="16"/>
    </row>
    <row r="65" spans="1:13" ht="12.75">
      <c r="A65" s="50"/>
      <c r="B65" s="3" t="s">
        <v>23</v>
      </c>
      <c r="C65" s="24">
        <v>98163</v>
      </c>
      <c r="D65" s="25">
        <v>98163</v>
      </c>
      <c r="E65" s="26">
        <v>-400</v>
      </c>
      <c r="F65" s="24">
        <v>0</v>
      </c>
      <c r="G65" s="26">
        <v>0</v>
      </c>
      <c r="H65" s="24">
        <v>0</v>
      </c>
      <c r="I65" s="94">
        <v>0</v>
      </c>
      <c r="J65" s="116">
        <v>-1800</v>
      </c>
      <c r="K65" s="59">
        <f t="shared" si="16"/>
        <v>95963</v>
      </c>
      <c r="L65" s="16"/>
      <c r="M65" s="16"/>
    </row>
    <row r="66" spans="1:13" ht="12.75">
      <c r="A66" s="50"/>
      <c r="B66" s="3" t="s">
        <v>133</v>
      </c>
      <c r="C66" s="24">
        <v>39172</v>
      </c>
      <c r="D66" s="25">
        <v>39172</v>
      </c>
      <c r="E66" s="26">
        <v>-116</v>
      </c>
      <c r="F66" s="24">
        <v>0</v>
      </c>
      <c r="G66" s="26">
        <v>0</v>
      </c>
      <c r="H66" s="24">
        <v>0</v>
      </c>
      <c r="I66" s="94">
        <v>0</v>
      </c>
      <c r="J66" s="116">
        <v>10740</v>
      </c>
      <c r="K66" s="59">
        <f t="shared" si="16"/>
        <v>49796</v>
      </c>
      <c r="L66" s="16"/>
      <c r="M66" s="16"/>
    </row>
    <row r="67" spans="1:13" ht="12.75">
      <c r="A67" s="50"/>
      <c r="B67" s="3" t="s">
        <v>134</v>
      </c>
      <c r="C67" s="24">
        <v>36286</v>
      </c>
      <c r="D67" s="25">
        <v>11286</v>
      </c>
      <c r="E67" s="26">
        <v>-33</v>
      </c>
      <c r="F67" s="24">
        <v>0</v>
      </c>
      <c r="G67" s="26">
        <v>0</v>
      </c>
      <c r="H67" s="24">
        <v>0</v>
      </c>
      <c r="I67" s="94">
        <v>0</v>
      </c>
      <c r="J67" s="116">
        <v>0</v>
      </c>
      <c r="K67" s="59">
        <f t="shared" si="16"/>
        <v>11253</v>
      </c>
      <c r="L67" s="16"/>
      <c r="M67" s="16"/>
    </row>
    <row r="68" spans="1:13" ht="12.75">
      <c r="A68" s="50"/>
      <c r="B68" s="3" t="s">
        <v>219</v>
      </c>
      <c r="C68" s="24">
        <v>7659</v>
      </c>
      <c r="D68" s="25">
        <v>7659</v>
      </c>
      <c r="E68" s="26">
        <v>-23</v>
      </c>
      <c r="F68" s="24">
        <v>0</v>
      </c>
      <c r="G68" s="26">
        <v>0</v>
      </c>
      <c r="H68" s="24">
        <v>0</v>
      </c>
      <c r="I68" s="94">
        <v>0</v>
      </c>
      <c r="J68" s="116">
        <v>0</v>
      </c>
      <c r="K68" s="59">
        <f t="shared" si="16"/>
        <v>7636</v>
      </c>
      <c r="L68" s="16"/>
      <c r="M68" s="16"/>
    </row>
    <row r="69" spans="1:13" ht="12.75">
      <c r="A69" s="50"/>
      <c r="B69" s="3" t="s">
        <v>24</v>
      </c>
      <c r="C69" s="24">
        <v>162971</v>
      </c>
      <c r="D69" s="25">
        <v>162971</v>
      </c>
      <c r="E69" s="26">
        <v>-481</v>
      </c>
      <c r="F69" s="24">
        <v>0</v>
      </c>
      <c r="G69" s="26">
        <v>0</v>
      </c>
      <c r="H69" s="24">
        <v>0</v>
      </c>
      <c r="I69" s="94">
        <v>0</v>
      </c>
      <c r="J69" s="116">
        <v>-7460</v>
      </c>
      <c r="K69" s="59">
        <f t="shared" si="16"/>
        <v>155030</v>
      </c>
      <c r="L69" s="16"/>
      <c r="M69" s="16"/>
    </row>
    <row r="70" spans="1:13" ht="12.75">
      <c r="A70" s="50"/>
      <c r="B70" s="3" t="s">
        <v>25</v>
      </c>
      <c r="C70" s="24">
        <v>47018</v>
      </c>
      <c r="D70" s="25">
        <v>33277</v>
      </c>
      <c r="E70" s="26">
        <v>-98</v>
      </c>
      <c r="F70" s="24">
        <v>0</v>
      </c>
      <c r="G70" s="26">
        <v>17000</v>
      </c>
      <c r="H70" s="24">
        <v>0</v>
      </c>
      <c r="I70" s="94">
        <v>141300</v>
      </c>
      <c r="J70" s="116">
        <f>-2392+31</f>
        <v>-2361</v>
      </c>
      <c r="K70" s="59">
        <f t="shared" si="16"/>
        <v>189118</v>
      </c>
      <c r="L70" s="16"/>
      <c r="M70" s="16"/>
    </row>
    <row r="71" spans="1:13" ht="12.75">
      <c r="A71" s="50"/>
      <c r="B71" s="3" t="s">
        <v>26</v>
      </c>
      <c r="C71" s="24">
        <v>1347</v>
      </c>
      <c r="D71" s="25">
        <v>1347</v>
      </c>
      <c r="E71" s="26">
        <v>-4</v>
      </c>
      <c r="F71" s="24">
        <v>0</v>
      </c>
      <c r="G71" s="26">
        <v>0</v>
      </c>
      <c r="H71" s="24">
        <v>0</v>
      </c>
      <c r="I71" s="94">
        <v>-818</v>
      </c>
      <c r="J71" s="116">
        <f>-237-31+303</f>
        <v>35</v>
      </c>
      <c r="K71" s="59">
        <f t="shared" si="16"/>
        <v>560</v>
      </c>
      <c r="L71" s="16"/>
      <c r="M71" s="16"/>
    </row>
    <row r="72" spans="1:13" ht="12.75">
      <c r="A72" s="50"/>
      <c r="B72" s="3" t="s">
        <v>27</v>
      </c>
      <c r="C72" s="24">
        <v>5760</v>
      </c>
      <c r="D72" s="25">
        <v>5760</v>
      </c>
      <c r="E72" s="26">
        <v>-17</v>
      </c>
      <c r="F72" s="24">
        <v>0</v>
      </c>
      <c r="G72" s="26">
        <v>-5200</v>
      </c>
      <c r="H72" s="24">
        <v>0</v>
      </c>
      <c r="I72" s="94">
        <v>0</v>
      </c>
      <c r="J72" s="116">
        <f>0-108-303</f>
        <v>-411</v>
      </c>
      <c r="K72" s="59">
        <f t="shared" si="16"/>
        <v>132</v>
      </c>
      <c r="L72" s="365"/>
      <c r="M72" s="16"/>
    </row>
    <row r="73" spans="1:13" ht="12.75">
      <c r="A73" s="50"/>
      <c r="B73" s="3" t="s">
        <v>28</v>
      </c>
      <c r="C73" s="24">
        <v>7061</v>
      </c>
      <c r="D73" s="25">
        <v>7061</v>
      </c>
      <c r="E73" s="26">
        <v>-21</v>
      </c>
      <c r="F73" s="24">
        <v>0</v>
      </c>
      <c r="G73" s="26">
        <v>0</v>
      </c>
      <c r="H73" s="24">
        <v>0</v>
      </c>
      <c r="I73" s="94">
        <v>303</v>
      </c>
      <c r="J73" s="116">
        <f>0+108</f>
        <v>108</v>
      </c>
      <c r="K73" s="59">
        <f t="shared" si="16"/>
        <v>7451</v>
      </c>
      <c r="L73" s="16"/>
      <c r="M73" s="16"/>
    </row>
    <row r="74" spans="1:13" ht="12.75">
      <c r="A74" s="50"/>
      <c r="B74" s="3" t="s">
        <v>135</v>
      </c>
      <c r="C74" s="24">
        <v>67083</v>
      </c>
      <c r="D74" s="25">
        <v>67083</v>
      </c>
      <c r="E74" s="26">
        <v>-198</v>
      </c>
      <c r="F74" s="24">
        <v>0</v>
      </c>
      <c r="G74" s="26">
        <f>43640+1000</f>
        <v>44640</v>
      </c>
      <c r="H74" s="24">
        <v>0</v>
      </c>
      <c r="I74" s="94">
        <v>0</v>
      </c>
      <c r="J74" s="116">
        <v>-5924</v>
      </c>
      <c r="K74" s="59">
        <f t="shared" si="16"/>
        <v>105601</v>
      </c>
      <c r="L74" s="16"/>
      <c r="M74" s="16"/>
    </row>
    <row r="75" spans="1:13" ht="12.75">
      <c r="A75" s="50"/>
      <c r="B75" s="3" t="s">
        <v>136</v>
      </c>
      <c r="C75" s="24">
        <v>5540</v>
      </c>
      <c r="D75" s="25">
        <v>12540</v>
      </c>
      <c r="E75" s="26">
        <v>-37</v>
      </c>
      <c r="F75" s="24">
        <v>0</v>
      </c>
      <c r="G75" s="26">
        <v>0</v>
      </c>
      <c r="H75" s="24">
        <v>0</v>
      </c>
      <c r="I75" s="94">
        <v>0</v>
      </c>
      <c r="J75" s="116">
        <v>7051</v>
      </c>
      <c r="K75" s="59">
        <f t="shared" si="16"/>
        <v>19554</v>
      </c>
      <c r="L75" s="16"/>
      <c r="M75" s="16"/>
    </row>
    <row r="76" spans="1:13" ht="12.75">
      <c r="A76" s="50"/>
      <c r="B76" s="3" t="s">
        <v>137</v>
      </c>
      <c r="C76" s="24">
        <v>67220</v>
      </c>
      <c r="D76" s="25">
        <v>73220</v>
      </c>
      <c r="E76" s="26">
        <v>-216</v>
      </c>
      <c r="F76" s="24">
        <v>0</v>
      </c>
      <c r="G76" s="26">
        <v>3100</v>
      </c>
      <c r="H76" s="24">
        <v>0</v>
      </c>
      <c r="I76" s="94">
        <v>0</v>
      </c>
      <c r="J76" s="116">
        <v>7058</v>
      </c>
      <c r="K76" s="59">
        <f t="shared" si="16"/>
        <v>83162</v>
      </c>
      <c r="L76" s="16"/>
      <c r="M76" s="16"/>
    </row>
    <row r="77" spans="1:13" ht="12.75">
      <c r="A77" s="50"/>
      <c r="B77" s="3" t="s">
        <v>29</v>
      </c>
      <c r="C77" s="24">
        <v>54122</v>
      </c>
      <c r="D77" s="25">
        <v>56122</v>
      </c>
      <c r="E77" s="26">
        <v>-165</v>
      </c>
      <c r="F77" s="24">
        <v>0</v>
      </c>
      <c r="G77" s="26">
        <v>8100</v>
      </c>
      <c r="H77" s="24">
        <v>0</v>
      </c>
      <c r="I77" s="94">
        <v>360</v>
      </c>
      <c r="J77" s="116">
        <v>2391</v>
      </c>
      <c r="K77" s="59">
        <f t="shared" si="16"/>
        <v>66808</v>
      </c>
      <c r="L77" s="16"/>
      <c r="M77" s="16"/>
    </row>
    <row r="78" spans="1:13" ht="12.75">
      <c r="A78" s="50"/>
      <c r="B78" s="3" t="s">
        <v>31</v>
      </c>
      <c r="C78" s="24">
        <v>15689</v>
      </c>
      <c r="D78" s="25">
        <v>23489</v>
      </c>
      <c r="E78" s="26">
        <v>-69</v>
      </c>
      <c r="F78" s="24">
        <v>0</v>
      </c>
      <c r="G78" s="26">
        <v>16250</v>
      </c>
      <c r="H78" s="24">
        <v>0</v>
      </c>
      <c r="I78" s="94">
        <v>0</v>
      </c>
      <c r="J78" s="116">
        <f>-103-16250+16250-16250</f>
        <v>-16353</v>
      </c>
      <c r="K78" s="59">
        <f t="shared" si="16"/>
        <v>23317</v>
      </c>
      <c r="L78" s="16"/>
      <c r="M78" s="16"/>
    </row>
    <row r="79" spans="1:13" ht="12.75">
      <c r="A79" s="50"/>
      <c r="B79" s="3" t="s">
        <v>32</v>
      </c>
      <c r="C79" s="24">
        <v>1265</v>
      </c>
      <c r="D79" s="25">
        <v>1265</v>
      </c>
      <c r="E79" s="26">
        <v>-4</v>
      </c>
      <c r="F79" s="24">
        <v>0</v>
      </c>
      <c r="G79" s="26">
        <v>0</v>
      </c>
      <c r="H79" s="24">
        <v>0</v>
      </c>
      <c r="I79" s="94">
        <v>0</v>
      </c>
      <c r="J79" s="116">
        <v>0</v>
      </c>
      <c r="K79" s="59">
        <f t="shared" si="16"/>
        <v>1261</v>
      </c>
      <c r="L79" s="16"/>
      <c r="M79" s="16"/>
    </row>
    <row r="80" spans="1:13" ht="12.75">
      <c r="A80" s="50"/>
      <c r="B80" s="3" t="s">
        <v>138</v>
      </c>
      <c r="C80" s="24">
        <v>12484</v>
      </c>
      <c r="D80" s="25">
        <v>12484</v>
      </c>
      <c r="E80" s="26">
        <v>-37</v>
      </c>
      <c r="F80" s="24">
        <v>0</v>
      </c>
      <c r="G80" s="26">
        <v>0</v>
      </c>
      <c r="H80" s="24">
        <v>0</v>
      </c>
      <c r="I80" s="94">
        <v>0</v>
      </c>
      <c r="J80" s="116">
        <v>0</v>
      </c>
      <c r="K80" s="59">
        <f t="shared" si="16"/>
        <v>12447</v>
      </c>
      <c r="L80" s="16"/>
      <c r="M80" s="16"/>
    </row>
    <row r="81" spans="1:13" ht="12.75">
      <c r="A81" s="50"/>
      <c r="B81" s="3" t="s">
        <v>33</v>
      </c>
      <c r="C81" s="24">
        <v>18795</v>
      </c>
      <c r="D81" s="25">
        <v>21675</v>
      </c>
      <c r="E81" s="26">
        <v>-64</v>
      </c>
      <c r="F81" s="24">
        <v>0</v>
      </c>
      <c r="G81" s="26">
        <v>0</v>
      </c>
      <c r="H81" s="24">
        <v>0</v>
      </c>
      <c r="I81" s="94">
        <v>0</v>
      </c>
      <c r="J81" s="116">
        <f>-495-8</f>
        <v>-503</v>
      </c>
      <c r="K81" s="59">
        <f t="shared" si="16"/>
        <v>21108</v>
      </c>
      <c r="L81" s="16"/>
      <c r="M81" s="16"/>
    </row>
    <row r="82" spans="1:13" ht="12.75">
      <c r="A82" s="50"/>
      <c r="B82" s="3" t="s">
        <v>34</v>
      </c>
      <c r="C82" s="24">
        <v>3272</v>
      </c>
      <c r="D82" s="25">
        <v>3272</v>
      </c>
      <c r="E82" s="26">
        <v>-10</v>
      </c>
      <c r="F82" s="24">
        <v>0</v>
      </c>
      <c r="G82" s="26">
        <v>0</v>
      </c>
      <c r="H82" s="24">
        <v>0</v>
      </c>
      <c r="I82" s="94">
        <v>0</v>
      </c>
      <c r="J82" s="116">
        <v>-651</v>
      </c>
      <c r="K82" s="59">
        <f t="shared" si="16"/>
        <v>2611</v>
      </c>
      <c r="L82" s="16"/>
      <c r="M82" s="16"/>
    </row>
    <row r="83" spans="1:13" ht="12.75">
      <c r="A83" s="50"/>
      <c r="B83" s="3" t="s">
        <v>35</v>
      </c>
      <c r="C83" s="24">
        <v>3702</v>
      </c>
      <c r="D83" s="25">
        <v>3702</v>
      </c>
      <c r="E83" s="26">
        <v>-11</v>
      </c>
      <c r="F83" s="24">
        <v>0</v>
      </c>
      <c r="G83" s="26">
        <v>-6400</v>
      </c>
      <c r="H83" s="24">
        <v>0</v>
      </c>
      <c r="I83" s="94">
        <f>17000+142000</f>
        <v>159000</v>
      </c>
      <c r="J83" s="116">
        <f>900+6400-6400+6400</f>
        <v>7300</v>
      </c>
      <c r="K83" s="59">
        <f t="shared" si="16"/>
        <v>163591</v>
      </c>
      <c r="L83" s="16"/>
      <c r="M83" s="16"/>
    </row>
    <row r="84" spans="1:13" ht="12.75">
      <c r="A84" s="50"/>
      <c r="B84" s="3" t="s">
        <v>139</v>
      </c>
      <c r="C84" s="24">
        <v>34151</v>
      </c>
      <c r="D84" s="25">
        <v>36151</v>
      </c>
      <c r="E84" s="26">
        <v>-107</v>
      </c>
      <c r="F84" s="24">
        <v>0</v>
      </c>
      <c r="G84" s="26">
        <v>0</v>
      </c>
      <c r="H84" s="24">
        <v>0</v>
      </c>
      <c r="I84" s="94">
        <v>155</v>
      </c>
      <c r="J84" s="116">
        <v>0</v>
      </c>
      <c r="K84" s="59">
        <f t="shared" si="16"/>
        <v>36199</v>
      </c>
      <c r="L84" s="16"/>
      <c r="M84" s="16"/>
    </row>
    <row r="85" spans="1:13" ht="12.75">
      <c r="A85" s="50"/>
      <c r="B85" s="3" t="s">
        <v>140</v>
      </c>
      <c r="C85" s="24">
        <v>21593</v>
      </c>
      <c r="D85" s="25">
        <v>20000</v>
      </c>
      <c r="E85" s="26">
        <v>-59</v>
      </c>
      <c r="F85" s="24">
        <v>0</v>
      </c>
      <c r="G85" s="26">
        <v>0</v>
      </c>
      <c r="H85" s="24">
        <v>0</v>
      </c>
      <c r="I85" s="94">
        <v>0</v>
      </c>
      <c r="J85" s="116">
        <v>1059</v>
      </c>
      <c r="K85" s="59">
        <f t="shared" si="16"/>
        <v>21000</v>
      </c>
      <c r="L85" s="16"/>
      <c r="M85" s="16"/>
    </row>
    <row r="86" spans="1:13" ht="12.75">
      <c r="A86" s="50"/>
      <c r="B86" s="3" t="s">
        <v>36</v>
      </c>
      <c r="C86" s="24">
        <v>11722</v>
      </c>
      <c r="D86" s="25">
        <v>11722</v>
      </c>
      <c r="E86" s="26">
        <v>-35</v>
      </c>
      <c r="F86" s="24">
        <v>0</v>
      </c>
      <c r="G86" s="26">
        <v>0</v>
      </c>
      <c r="H86" s="24">
        <v>0</v>
      </c>
      <c r="I86" s="94">
        <v>0</v>
      </c>
      <c r="J86" s="116">
        <v>-2337</v>
      </c>
      <c r="K86" s="59">
        <f t="shared" si="16"/>
        <v>9350</v>
      </c>
      <c r="L86" s="16"/>
      <c r="M86" s="16"/>
    </row>
    <row r="87" spans="1:13" ht="12.75">
      <c r="A87" s="50"/>
      <c r="B87" s="3" t="s">
        <v>37</v>
      </c>
      <c r="C87" s="24">
        <v>27194</v>
      </c>
      <c r="D87" s="25">
        <v>55561</v>
      </c>
      <c r="E87" s="26">
        <v>-164</v>
      </c>
      <c r="F87" s="24">
        <v>0</v>
      </c>
      <c r="G87" s="26">
        <v>0</v>
      </c>
      <c r="H87" s="24">
        <v>0</v>
      </c>
      <c r="I87" s="94">
        <v>0</v>
      </c>
      <c r="J87" s="116">
        <f>0-6400+6400-6400</f>
        <v>-6400</v>
      </c>
      <c r="K87" s="59">
        <f t="shared" si="16"/>
        <v>48997</v>
      </c>
      <c r="L87" s="16"/>
      <c r="M87" s="16"/>
    </row>
    <row r="88" spans="1:13" ht="12.75">
      <c r="A88" s="50"/>
      <c r="B88" s="3" t="s">
        <v>220</v>
      </c>
      <c r="C88" s="24">
        <v>55248</v>
      </c>
      <c r="D88" s="25">
        <v>55248</v>
      </c>
      <c r="E88" s="26">
        <v>-163</v>
      </c>
      <c r="F88" s="24">
        <v>0</v>
      </c>
      <c r="G88" s="26">
        <v>0</v>
      </c>
      <c r="H88" s="24">
        <v>0</v>
      </c>
      <c r="I88" s="94">
        <v>0</v>
      </c>
      <c r="J88" s="370">
        <v>551</v>
      </c>
      <c r="K88" s="59">
        <f t="shared" si="16"/>
        <v>55636</v>
      </c>
      <c r="L88" s="16"/>
      <c r="M88" s="16"/>
    </row>
    <row r="89" spans="1:13" ht="12.75">
      <c r="A89" s="50"/>
      <c r="B89" s="117" t="s">
        <v>221</v>
      </c>
      <c r="C89" s="24">
        <v>15862</v>
      </c>
      <c r="D89" s="25">
        <v>15862</v>
      </c>
      <c r="E89" s="26">
        <v>-47</v>
      </c>
      <c r="F89" s="24">
        <v>0</v>
      </c>
      <c r="G89" s="26">
        <v>0</v>
      </c>
      <c r="H89" s="24">
        <v>0</v>
      </c>
      <c r="I89" s="94">
        <v>0</v>
      </c>
      <c r="J89" s="116">
        <v>-830</v>
      </c>
      <c r="K89" s="59">
        <f>SUM(D89:J89)</f>
        <v>14985</v>
      </c>
      <c r="L89" s="16"/>
      <c r="M89" s="16"/>
    </row>
    <row r="90" spans="1:13" ht="12.75">
      <c r="A90" s="50"/>
      <c r="B90" s="3" t="s">
        <v>223</v>
      </c>
      <c r="C90" s="24">
        <v>25892</v>
      </c>
      <c r="D90" s="25">
        <v>25892</v>
      </c>
      <c r="E90" s="26">
        <v>-76</v>
      </c>
      <c r="F90" s="24">
        <v>0</v>
      </c>
      <c r="G90" s="26">
        <v>33750</v>
      </c>
      <c r="H90" s="24">
        <v>0</v>
      </c>
      <c r="I90" s="94">
        <v>0</v>
      </c>
      <c r="J90" s="116">
        <f>0+5000</f>
        <v>5000</v>
      </c>
      <c r="K90" s="59">
        <f>SUM(D90:J90)</f>
        <v>64566</v>
      </c>
      <c r="L90" s="16"/>
      <c r="M90" s="16"/>
    </row>
    <row r="91" spans="1:13" ht="12.75">
      <c r="A91" s="50"/>
      <c r="B91" s="117" t="s">
        <v>222</v>
      </c>
      <c r="C91" s="24">
        <v>15455</v>
      </c>
      <c r="D91" s="25">
        <v>19455</v>
      </c>
      <c r="E91" s="26">
        <v>-57</v>
      </c>
      <c r="F91" s="24">
        <v>0</v>
      </c>
      <c r="G91" s="26">
        <v>0</v>
      </c>
      <c r="H91" s="24">
        <v>0</v>
      </c>
      <c r="I91" s="94">
        <v>0</v>
      </c>
      <c r="J91" s="116">
        <f>-3917+16250-16250+16250</f>
        <v>12333</v>
      </c>
      <c r="K91" s="59">
        <f>SUM(D91:J91)</f>
        <v>31731</v>
      </c>
      <c r="L91" s="16"/>
      <c r="M91" s="16"/>
    </row>
    <row r="92" spans="1:13" ht="12.75">
      <c r="A92" s="50"/>
      <c r="B92" s="117" t="s">
        <v>224</v>
      </c>
      <c r="C92" s="24">
        <v>30201</v>
      </c>
      <c r="D92" s="25">
        <v>25351</v>
      </c>
      <c r="E92" s="26">
        <v>-75</v>
      </c>
      <c r="F92" s="24">
        <v>0</v>
      </c>
      <c r="G92" s="26">
        <v>0</v>
      </c>
      <c r="H92" s="24">
        <v>0</v>
      </c>
      <c r="I92" s="94">
        <v>0</v>
      </c>
      <c r="J92" s="116">
        <f>104-67</f>
        <v>37</v>
      </c>
      <c r="K92" s="59">
        <f>SUM(D92:J92)</f>
        <v>25313</v>
      </c>
      <c r="L92" s="16"/>
      <c r="M92" s="16"/>
    </row>
    <row r="93" spans="1:13" ht="12.75">
      <c r="A93" s="50"/>
      <c r="B93" s="117" t="s">
        <v>225</v>
      </c>
      <c r="C93" s="24">
        <v>33966</v>
      </c>
      <c r="D93" s="25">
        <v>23566</v>
      </c>
      <c r="E93" s="26">
        <v>-69</v>
      </c>
      <c r="F93" s="24">
        <v>0</v>
      </c>
      <c r="G93" s="26">
        <v>0</v>
      </c>
      <c r="H93" s="24">
        <v>0</v>
      </c>
      <c r="I93" s="94">
        <v>11162</v>
      </c>
      <c r="J93" s="116">
        <v>-3686</v>
      </c>
      <c r="K93" s="59">
        <f>SUM(D93:J93)</f>
        <v>30973</v>
      </c>
      <c r="L93" s="16"/>
      <c r="M93" s="16"/>
    </row>
    <row r="94" spans="1:13" ht="12.75">
      <c r="A94" s="50"/>
      <c r="B94" s="117" t="s">
        <v>38</v>
      </c>
      <c r="C94" s="24">
        <v>13450</v>
      </c>
      <c r="D94" s="25">
        <v>13450</v>
      </c>
      <c r="E94" s="26">
        <v>-40</v>
      </c>
      <c r="F94" s="24">
        <v>0</v>
      </c>
      <c r="G94" s="26">
        <v>0</v>
      </c>
      <c r="H94" s="24">
        <v>0</v>
      </c>
      <c r="I94" s="94">
        <v>0</v>
      </c>
      <c r="J94" s="116">
        <v>0</v>
      </c>
      <c r="K94" s="59">
        <f t="shared" si="16"/>
        <v>13410</v>
      </c>
      <c r="L94" s="16"/>
      <c r="M94" s="16"/>
    </row>
    <row r="95" spans="1:13" ht="12.75">
      <c r="A95" s="50"/>
      <c r="B95" s="117" t="s">
        <v>39</v>
      </c>
      <c r="C95" s="24">
        <v>15331</v>
      </c>
      <c r="D95" s="25">
        <v>15331</v>
      </c>
      <c r="E95" s="26">
        <v>-45</v>
      </c>
      <c r="F95" s="24">
        <v>0</v>
      </c>
      <c r="G95" s="26">
        <v>0</v>
      </c>
      <c r="H95" s="24">
        <v>0</v>
      </c>
      <c r="I95" s="94">
        <v>0</v>
      </c>
      <c r="J95" s="116">
        <f>-3014+8</f>
        <v>-3006</v>
      </c>
      <c r="K95" s="59">
        <f t="shared" si="16"/>
        <v>12280</v>
      </c>
      <c r="L95" s="16"/>
      <c r="M95" s="16"/>
    </row>
    <row r="96" spans="1:13" ht="12.75">
      <c r="A96" s="50"/>
      <c r="B96" s="117" t="s">
        <v>198</v>
      </c>
      <c r="C96" s="24">
        <v>315443</v>
      </c>
      <c r="D96" s="25">
        <v>319443</v>
      </c>
      <c r="E96" s="26">
        <v>-941</v>
      </c>
      <c r="F96" s="24">
        <v>0</v>
      </c>
      <c r="G96" s="26">
        <v>1797</v>
      </c>
      <c r="H96" s="24">
        <v>0</v>
      </c>
      <c r="I96" s="94">
        <v>1549</v>
      </c>
      <c r="J96" s="116">
        <f>-7042-4999+830+151</f>
        <v>-11060</v>
      </c>
      <c r="K96" s="59">
        <f t="shared" si="16"/>
        <v>310788</v>
      </c>
      <c r="L96" s="16"/>
      <c r="M96" s="16"/>
    </row>
    <row r="97" spans="1:13" ht="12.75">
      <c r="A97" s="50"/>
      <c r="B97" s="117" t="s">
        <v>40</v>
      </c>
      <c r="C97" s="24">
        <v>64778</v>
      </c>
      <c r="D97" s="25">
        <v>55778</v>
      </c>
      <c r="E97" s="26">
        <v>-164</v>
      </c>
      <c r="F97" s="24">
        <v>0</v>
      </c>
      <c r="G97" s="26">
        <v>0</v>
      </c>
      <c r="H97" s="24">
        <v>0</v>
      </c>
      <c r="I97" s="94">
        <v>-18662</v>
      </c>
      <c r="J97" s="116">
        <f>-5928-196</f>
        <v>-6124</v>
      </c>
      <c r="K97" s="59">
        <f t="shared" si="16"/>
        <v>30828</v>
      </c>
      <c r="L97" s="16"/>
      <c r="M97" s="16"/>
    </row>
    <row r="98" spans="1:13" ht="13.5" thickBot="1">
      <c r="A98" s="50"/>
      <c r="B98" s="31" t="s">
        <v>185</v>
      </c>
      <c r="C98" s="24">
        <v>0</v>
      </c>
      <c r="D98" s="25">
        <v>0</v>
      </c>
      <c r="E98" s="26">
        <v>0</v>
      </c>
      <c r="F98" s="24">
        <v>0</v>
      </c>
      <c r="G98" s="26">
        <v>0</v>
      </c>
      <c r="H98" s="24">
        <v>0</v>
      </c>
      <c r="I98" s="94">
        <f>2407+124+548</f>
        <v>3079</v>
      </c>
      <c r="J98" s="116">
        <v>0</v>
      </c>
      <c r="K98" s="59">
        <f t="shared" si="16"/>
        <v>3079</v>
      </c>
      <c r="L98" s="16"/>
      <c r="M98" s="16"/>
    </row>
    <row r="99" spans="1:13" s="11" customFormat="1" ht="13.5" thickBot="1">
      <c r="A99" s="247"/>
      <c r="B99" s="37" t="s">
        <v>233</v>
      </c>
      <c r="C99" s="38">
        <f aca="true" t="shared" si="17" ref="C99:K99">SUM(C63:C98)</f>
        <v>1450512</v>
      </c>
      <c r="D99" s="38">
        <f t="shared" si="17"/>
        <v>1487375</v>
      </c>
      <c r="E99" s="38">
        <f t="shared" si="17"/>
        <v>-4387</v>
      </c>
      <c r="F99" s="38">
        <f t="shared" si="17"/>
        <v>0</v>
      </c>
      <c r="G99" s="38">
        <f t="shared" si="17"/>
        <v>113037</v>
      </c>
      <c r="H99" s="38">
        <f t="shared" si="17"/>
        <v>0</v>
      </c>
      <c r="I99" s="38">
        <f t="shared" si="17"/>
        <v>297794</v>
      </c>
      <c r="J99" s="38">
        <f>SUM(J63:J98)-1</f>
        <v>0</v>
      </c>
      <c r="K99" s="38">
        <f t="shared" si="17"/>
        <v>1893820</v>
      </c>
      <c r="L99" s="10"/>
      <c r="M99" s="10"/>
    </row>
    <row r="100" spans="1:11" ht="12.75">
      <c r="A100" s="49"/>
      <c r="B100" s="40"/>
      <c r="C100" s="24"/>
      <c r="D100" s="25"/>
      <c r="E100" s="26"/>
      <c r="F100" s="24"/>
      <c r="G100" s="26"/>
      <c r="H100" s="24"/>
      <c r="I100" s="94"/>
      <c r="J100" s="116"/>
      <c r="K100" s="25"/>
    </row>
    <row r="101" spans="1:11" ht="12.75">
      <c r="A101" s="49" t="s">
        <v>173</v>
      </c>
      <c r="B101" s="3" t="s">
        <v>42</v>
      </c>
      <c r="C101" s="24">
        <v>88565</v>
      </c>
      <c r="D101" s="25">
        <v>88565</v>
      </c>
      <c r="E101" s="26">
        <v>-261</v>
      </c>
      <c r="F101" s="24">
        <v>0</v>
      </c>
      <c r="G101" s="24">
        <v>0</v>
      </c>
      <c r="H101" s="24">
        <v>0</v>
      </c>
      <c r="I101" s="24">
        <v>0</v>
      </c>
      <c r="J101" s="116">
        <v>99</v>
      </c>
      <c r="K101" s="25">
        <f aca="true" t="shared" si="18" ref="K101:K106">SUM(D101:J101)</f>
        <v>88403</v>
      </c>
    </row>
    <row r="102" spans="1:11" ht="12.75">
      <c r="A102" s="49"/>
      <c r="B102" s="3" t="s">
        <v>43</v>
      </c>
      <c r="C102" s="24">
        <v>80211</v>
      </c>
      <c r="D102" s="25">
        <v>80211</v>
      </c>
      <c r="E102" s="26">
        <v>-237</v>
      </c>
      <c r="F102" s="24">
        <v>0</v>
      </c>
      <c r="G102" s="24">
        <v>0</v>
      </c>
      <c r="H102" s="24">
        <v>0</v>
      </c>
      <c r="I102" s="24">
        <v>0</v>
      </c>
      <c r="J102" s="116">
        <v>-99</v>
      </c>
      <c r="K102" s="25">
        <f t="shared" si="18"/>
        <v>79875</v>
      </c>
    </row>
    <row r="103" spans="1:11" ht="12.75">
      <c r="A103" s="49"/>
      <c r="B103" s="3" t="s">
        <v>44</v>
      </c>
      <c r="C103" s="24">
        <v>22299</v>
      </c>
      <c r="D103" s="25">
        <v>25579</v>
      </c>
      <c r="E103" s="26">
        <v>-75</v>
      </c>
      <c r="F103" s="24">
        <v>0</v>
      </c>
      <c r="G103" s="24">
        <v>0</v>
      </c>
      <c r="H103" s="24">
        <v>0</v>
      </c>
      <c r="I103" s="24">
        <v>0</v>
      </c>
      <c r="J103" s="116">
        <v>-5100</v>
      </c>
      <c r="K103" s="25">
        <f t="shared" si="18"/>
        <v>20404</v>
      </c>
    </row>
    <row r="104" spans="1:11" ht="12.75">
      <c r="A104" s="49"/>
      <c r="B104" s="3" t="s">
        <v>45</v>
      </c>
      <c r="C104" s="24">
        <v>38702</v>
      </c>
      <c r="D104" s="25">
        <v>38702</v>
      </c>
      <c r="E104" s="26">
        <v>-114</v>
      </c>
      <c r="F104" s="24">
        <v>0</v>
      </c>
      <c r="G104" s="24">
        <v>0</v>
      </c>
      <c r="H104" s="24">
        <v>0</v>
      </c>
      <c r="I104" s="24">
        <v>0</v>
      </c>
      <c r="J104" s="116">
        <v>0</v>
      </c>
      <c r="K104" s="25">
        <f t="shared" si="18"/>
        <v>38588</v>
      </c>
    </row>
    <row r="105" spans="1:11" ht="12.75">
      <c r="A105" s="49"/>
      <c r="B105" s="3" t="s">
        <v>199</v>
      </c>
      <c r="C105" s="24">
        <v>37784</v>
      </c>
      <c r="D105" s="25">
        <v>37784</v>
      </c>
      <c r="E105" s="26">
        <v>-111</v>
      </c>
      <c r="F105" s="24">
        <v>0</v>
      </c>
      <c r="G105" s="24">
        <v>0</v>
      </c>
      <c r="H105" s="24">
        <v>0</v>
      </c>
      <c r="I105" s="24">
        <v>0</v>
      </c>
      <c r="J105" s="116">
        <v>0</v>
      </c>
      <c r="K105" s="25">
        <f t="shared" si="18"/>
        <v>37673</v>
      </c>
    </row>
    <row r="106" spans="1:11" ht="13.5" thickBot="1">
      <c r="A106" s="49"/>
      <c r="B106" s="3" t="s">
        <v>46</v>
      </c>
      <c r="C106" s="24">
        <v>199610</v>
      </c>
      <c r="D106" s="25">
        <v>186160</v>
      </c>
      <c r="E106" s="26">
        <v>-549</v>
      </c>
      <c r="F106" s="24">
        <v>0</v>
      </c>
      <c r="G106" s="24">
        <v>0</v>
      </c>
      <c r="H106" s="24">
        <v>0</v>
      </c>
      <c r="I106" s="24">
        <v>0</v>
      </c>
      <c r="J106" s="116">
        <v>5100</v>
      </c>
      <c r="K106" s="25">
        <f t="shared" si="18"/>
        <v>190711</v>
      </c>
    </row>
    <row r="107" spans="1:11" s="11" customFormat="1" ht="13.5" thickBot="1">
      <c r="A107" s="247"/>
      <c r="B107" s="37" t="s">
        <v>234</v>
      </c>
      <c r="C107" s="38">
        <f>SUM(C101:C106)</f>
        <v>467171</v>
      </c>
      <c r="D107" s="38">
        <f aca="true" t="shared" si="19" ref="D107:K107">SUM(D101:D106)</f>
        <v>457001</v>
      </c>
      <c r="E107" s="38">
        <f t="shared" si="19"/>
        <v>-1347</v>
      </c>
      <c r="F107" s="38">
        <f t="shared" si="19"/>
        <v>0</v>
      </c>
      <c r="G107" s="38">
        <f t="shared" si="19"/>
        <v>0</v>
      </c>
      <c r="H107" s="38">
        <f t="shared" si="19"/>
        <v>0</v>
      </c>
      <c r="I107" s="270">
        <f t="shared" si="19"/>
        <v>0</v>
      </c>
      <c r="J107" s="38">
        <f t="shared" si="19"/>
        <v>0</v>
      </c>
      <c r="K107" s="39">
        <f t="shared" si="19"/>
        <v>455654</v>
      </c>
    </row>
    <row r="108" spans="1:11" ht="12.75">
      <c r="A108" s="41"/>
      <c r="B108" s="42"/>
      <c r="C108" s="24"/>
      <c r="D108" s="29"/>
      <c r="E108" s="31"/>
      <c r="F108" s="33"/>
      <c r="G108" s="31"/>
      <c r="H108" s="33"/>
      <c r="I108" s="93"/>
      <c r="J108" s="123"/>
      <c r="K108" s="25"/>
    </row>
    <row r="109" spans="1:11" ht="12.75">
      <c r="A109" s="41" t="s">
        <v>235</v>
      </c>
      <c r="B109" s="3" t="s">
        <v>226</v>
      </c>
      <c r="C109" s="24">
        <v>0</v>
      </c>
      <c r="D109" s="25">
        <v>57100</v>
      </c>
      <c r="E109" s="26">
        <v>-168</v>
      </c>
      <c r="F109" s="24">
        <v>0</v>
      </c>
      <c r="G109" s="26">
        <v>0</v>
      </c>
      <c r="H109" s="24">
        <v>0</v>
      </c>
      <c r="I109" s="26">
        <v>45000</v>
      </c>
      <c r="J109" s="24">
        <v>0</v>
      </c>
      <c r="K109" s="25">
        <f>SUM(D109:J109)</f>
        <v>101932</v>
      </c>
    </row>
    <row r="110" spans="1:11" ht="13.5" thickBot="1">
      <c r="A110" s="41"/>
      <c r="B110" s="3" t="s">
        <v>227</v>
      </c>
      <c r="C110" s="24">
        <v>0</v>
      </c>
      <c r="D110" s="25">
        <v>105000</v>
      </c>
      <c r="E110" s="26">
        <v>-310</v>
      </c>
      <c r="F110" s="24">
        <v>0</v>
      </c>
      <c r="G110" s="26">
        <v>0</v>
      </c>
      <c r="H110" s="269">
        <v>0</v>
      </c>
      <c r="I110" s="26">
        <v>0</v>
      </c>
      <c r="J110" s="269">
        <v>0</v>
      </c>
      <c r="K110" s="25">
        <f>SUM(D110:J110)</f>
        <v>104690</v>
      </c>
    </row>
    <row r="111" spans="1:11" s="11" customFormat="1" ht="13.5" thickBot="1">
      <c r="A111" s="247"/>
      <c r="B111" s="37" t="s">
        <v>279</v>
      </c>
      <c r="C111" s="38">
        <f>SUM(C109:C110)</f>
        <v>0</v>
      </c>
      <c r="D111" s="38">
        <f aca="true" t="shared" si="20" ref="D111:K111">SUM(D109:D110)</f>
        <v>162100</v>
      </c>
      <c r="E111" s="38">
        <f t="shared" si="20"/>
        <v>-478</v>
      </c>
      <c r="F111" s="38">
        <f t="shared" si="20"/>
        <v>0</v>
      </c>
      <c r="G111" s="38">
        <f t="shared" si="20"/>
        <v>0</v>
      </c>
      <c r="H111" s="38">
        <f t="shared" si="20"/>
        <v>0</v>
      </c>
      <c r="I111" s="38">
        <f t="shared" si="20"/>
        <v>45000</v>
      </c>
      <c r="J111" s="38">
        <f t="shared" si="20"/>
        <v>0</v>
      </c>
      <c r="K111" s="38">
        <f t="shared" si="20"/>
        <v>206622</v>
      </c>
    </row>
    <row r="112" spans="1:11" ht="12.75">
      <c r="A112" s="41"/>
      <c r="B112" s="42"/>
      <c r="C112" s="24"/>
      <c r="D112" s="29"/>
      <c r="E112" s="31"/>
      <c r="F112" s="24"/>
      <c r="G112" s="31"/>
      <c r="H112" s="33"/>
      <c r="I112" s="93"/>
      <c r="J112" s="123"/>
      <c r="K112" s="25"/>
    </row>
    <row r="113" spans="1:11" ht="13.5" thickBot="1">
      <c r="A113" s="41"/>
      <c r="B113" s="42"/>
      <c r="C113" s="24"/>
      <c r="D113" s="29"/>
      <c r="E113" s="31"/>
      <c r="F113" s="24"/>
      <c r="G113" s="31"/>
      <c r="H113" s="24"/>
      <c r="I113" s="93"/>
      <c r="J113" s="123"/>
      <c r="K113" s="25"/>
    </row>
    <row r="114" spans="1:11" s="256" customFormat="1" ht="13.5" thickBot="1">
      <c r="A114" s="43" t="s">
        <v>47</v>
      </c>
      <c r="B114" s="44" t="s">
        <v>164</v>
      </c>
      <c r="C114" s="38">
        <v>671379</v>
      </c>
      <c r="D114" s="38">
        <v>648379</v>
      </c>
      <c r="E114" s="218">
        <v>-1912</v>
      </c>
      <c r="F114" s="38">
        <v>0</v>
      </c>
      <c r="G114" s="218">
        <f>1380+4863+19367+5194+38245+55160+166259</f>
        <v>290468</v>
      </c>
      <c r="H114" s="38">
        <v>0</v>
      </c>
      <c r="I114" s="218">
        <f>-2000+300+25000+6400-29911+600+5400+13000+1400</f>
        <v>20189</v>
      </c>
      <c r="J114" s="38">
        <v>0</v>
      </c>
      <c r="K114" s="38">
        <f>SUM(D114:J114)</f>
        <v>957124</v>
      </c>
    </row>
    <row r="115" spans="1:11" s="256" customFormat="1" ht="12.75">
      <c r="A115" s="224"/>
      <c r="B115" s="225"/>
      <c r="C115" s="124"/>
      <c r="D115" s="96"/>
      <c r="E115" s="79"/>
      <c r="F115" s="124"/>
      <c r="G115" s="79"/>
      <c r="H115" s="124"/>
      <c r="I115" s="79"/>
      <c r="J115" s="124"/>
      <c r="K115" s="96"/>
    </row>
    <row r="116" spans="1:11" s="256" customFormat="1" ht="13.5" thickBot="1">
      <c r="A116" s="224"/>
      <c r="B116" s="225"/>
      <c r="C116" s="124"/>
      <c r="D116" s="96"/>
      <c r="E116" s="79"/>
      <c r="F116" s="124"/>
      <c r="G116" s="79"/>
      <c r="H116" s="124"/>
      <c r="I116" s="79"/>
      <c r="J116" s="124"/>
      <c r="K116" s="96"/>
    </row>
    <row r="117" spans="1:11" s="256" customFormat="1" ht="13.5" thickBot="1">
      <c r="A117" s="43" t="s">
        <v>268</v>
      </c>
      <c r="B117" s="44" t="s">
        <v>269</v>
      </c>
      <c r="C117" s="38">
        <v>0</v>
      </c>
      <c r="D117" s="39">
        <v>0</v>
      </c>
      <c r="E117" s="218">
        <v>0</v>
      </c>
      <c r="F117" s="38">
        <v>0</v>
      </c>
      <c r="G117" s="218">
        <v>0</v>
      </c>
      <c r="H117" s="38">
        <v>0</v>
      </c>
      <c r="I117" s="218">
        <v>0</v>
      </c>
      <c r="J117" s="38">
        <v>0</v>
      </c>
      <c r="K117" s="39">
        <v>0</v>
      </c>
    </row>
    <row r="118" spans="1:11" s="256" customFormat="1" ht="12.75">
      <c r="A118" s="224"/>
      <c r="B118" s="225"/>
      <c r="C118" s="124"/>
      <c r="D118" s="96"/>
      <c r="E118" s="79"/>
      <c r="F118" s="124"/>
      <c r="G118" s="79"/>
      <c r="H118" s="124"/>
      <c r="I118" s="79"/>
      <c r="J118" s="124"/>
      <c r="K118" s="96"/>
    </row>
    <row r="119" spans="1:11" s="22" customFormat="1" ht="13.5" thickBot="1">
      <c r="A119" s="224"/>
      <c r="B119" s="225"/>
      <c r="C119" s="116"/>
      <c r="D119" s="59"/>
      <c r="E119" s="94"/>
      <c r="F119" s="116"/>
      <c r="G119" s="94"/>
      <c r="H119" s="116"/>
      <c r="I119" s="94"/>
      <c r="J119" s="116"/>
      <c r="K119" s="96"/>
    </row>
    <row r="120" spans="1:11" s="10" customFormat="1" ht="13.5" thickBot="1">
      <c r="A120" s="43" t="s">
        <v>175</v>
      </c>
      <c r="B120" s="39" t="s">
        <v>59</v>
      </c>
      <c r="C120" s="38">
        <f>SUM(C61+C99+C107+C114+C117)</f>
        <v>3164228</v>
      </c>
      <c r="D120" s="38">
        <f aca="true" t="shared" si="21" ref="D120:I120">SUM(D61+D99+D107+D111+D114)</f>
        <v>3306269</v>
      </c>
      <c r="E120" s="38">
        <f t="shared" si="21"/>
        <v>-9749</v>
      </c>
      <c r="F120" s="38">
        <f t="shared" si="21"/>
        <v>0</v>
      </c>
      <c r="G120" s="38">
        <f t="shared" si="21"/>
        <v>403505</v>
      </c>
      <c r="H120" s="38">
        <f t="shared" si="21"/>
        <v>0</v>
      </c>
      <c r="I120" s="38">
        <f t="shared" si="21"/>
        <v>359522</v>
      </c>
      <c r="J120" s="38">
        <f>SUM(J61+J99+J107+J111+J114)</f>
        <v>0</v>
      </c>
      <c r="K120" s="38">
        <f>SUM(K61+K99+K107+K111+K114+K117)-1</f>
        <v>4059548</v>
      </c>
    </row>
    <row r="121" ht="12.75">
      <c r="A121" s="50"/>
    </row>
    <row r="122" ht="12.75">
      <c r="A122" s="50"/>
    </row>
    <row r="123" ht="12.75">
      <c r="A123" s="50"/>
    </row>
    <row r="124" ht="12.75">
      <c r="A124" s="50"/>
    </row>
  </sheetData>
  <sheetProtection/>
  <printOptions/>
  <pageMargins left="0.7" right="0.7" top="0.75" bottom="0.75" header="0.3" footer="0.3"/>
  <pageSetup fitToHeight="2" fitToWidth="1" horizontalDpi="600" verticalDpi="600" orientation="landscape" scale="53" r:id="rId1"/>
  <headerFooter>
    <oddHeader>&amp;CFY 2009/2011
PROCUREMENT, DEFENSE-WIDE
DD1416
As of 30 September 2010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1.140625" style="12" customWidth="1"/>
    <col min="2" max="2" width="56.7109375" style="27" customWidth="1"/>
    <col min="3" max="3" width="12.421875" style="27" customWidth="1"/>
    <col min="4" max="4" width="14.57421875" style="27" customWidth="1"/>
    <col min="5" max="5" width="15.8515625" style="27" customWidth="1"/>
    <col min="6" max="6" width="14.7109375" style="27" customWidth="1"/>
    <col min="7" max="7" width="12.7109375" style="27" customWidth="1"/>
    <col min="8" max="8" width="14.7109375" style="27" customWidth="1"/>
    <col min="9" max="9" width="14.140625" style="21" customWidth="1"/>
    <col min="10" max="10" width="14.28125" style="21" customWidth="1"/>
    <col min="11" max="11" width="11.57421875" style="16" customWidth="1"/>
    <col min="12" max="12" width="9.140625" style="27" customWidth="1"/>
    <col min="13" max="13" width="9.7109375" style="27" bestFit="1" customWidth="1"/>
    <col min="14" max="16384" width="9.140625" style="27" customWidth="1"/>
  </cols>
  <sheetData>
    <row r="2" spans="4:10" ht="12.75">
      <c r="D2" s="227"/>
      <c r="H2" s="227"/>
      <c r="J2" s="249"/>
    </row>
    <row r="3" spans="2:10" ht="12.75">
      <c r="B3" s="21"/>
      <c r="D3" s="227"/>
      <c r="E3" s="69"/>
      <c r="H3" s="227"/>
      <c r="J3" s="249"/>
    </row>
    <row r="4" spans="4:10" ht="13.5" thickBot="1">
      <c r="D4" s="227"/>
      <c r="E4" s="112"/>
      <c r="G4" s="227"/>
      <c r="H4" s="227"/>
      <c r="I4" s="249"/>
      <c r="J4" s="249"/>
    </row>
    <row r="5" spans="1:11" ht="51" customHeight="1" thickBot="1">
      <c r="A5" s="48" t="s">
        <v>165</v>
      </c>
      <c r="B5" s="47" t="s">
        <v>166</v>
      </c>
      <c r="C5" s="53" t="s">
        <v>50</v>
      </c>
      <c r="D5" s="55" t="s">
        <v>51</v>
      </c>
      <c r="E5" s="53" t="s">
        <v>52</v>
      </c>
      <c r="F5" s="54" t="s">
        <v>53</v>
      </c>
      <c r="G5" s="54" t="s">
        <v>54</v>
      </c>
      <c r="H5" s="54" t="s">
        <v>55</v>
      </c>
      <c r="I5" s="54" t="s">
        <v>56</v>
      </c>
      <c r="J5" s="54" t="s">
        <v>57</v>
      </c>
      <c r="K5" s="219" t="s">
        <v>58</v>
      </c>
    </row>
    <row r="6" spans="1:11" ht="12.75">
      <c r="A6" s="244"/>
      <c r="B6" s="29"/>
      <c r="C6" s="30"/>
      <c r="D6" s="29"/>
      <c r="E6" s="31"/>
      <c r="F6" s="30"/>
      <c r="G6" s="31"/>
      <c r="H6" s="30"/>
      <c r="I6" s="93"/>
      <c r="J6" s="122"/>
      <c r="K6" s="25"/>
    </row>
    <row r="7" spans="1:11" ht="12.75">
      <c r="A7" s="50"/>
      <c r="B7" s="32"/>
      <c r="C7" s="33"/>
      <c r="D7" s="29"/>
      <c r="E7" s="31"/>
      <c r="F7" s="33"/>
      <c r="G7" s="31"/>
      <c r="H7" s="33"/>
      <c r="I7" s="93"/>
      <c r="J7" s="123"/>
      <c r="K7" s="25"/>
    </row>
    <row r="8" spans="1:11" ht="12.75">
      <c r="A8" s="50" t="s">
        <v>63</v>
      </c>
      <c r="B8" s="7" t="s">
        <v>12</v>
      </c>
      <c r="C8" s="24">
        <v>105946</v>
      </c>
      <c r="D8" s="25">
        <v>105946</v>
      </c>
      <c r="E8" s="26">
        <v>-312</v>
      </c>
      <c r="F8" s="24">
        <v>0</v>
      </c>
      <c r="G8" s="26">
        <v>0</v>
      </c>
      <c r="H8" s="24">
        <v>0</v>
      </c>
      <c r="I8" s="94">
        <f>-2273-27</f>
        <v>-2300</v>
      </c>
      <c r="J8" s="116">
        <v>0</v>
      </c>
      <c r="K8" s="25">
        <f>SUM(D8:J8)</f>
        <v>103334</v>
      </c>
    </row>
    <row r="9" spans="1:11" s="11" customFormat="1" ht="12.75">
      <c r="A9" s="257"/>
      <c r="B9" s="258" t="s">
        <v>113</v>
      </c>
      <c r="C9" s="260">
        <f aca="true" t="shared" si="0" ref="C9:I9">SUM(C8)</f>
        <v>105946</v>
      </c>
      <c r="D9" s="260">
        <f t="shared" si="0"/>
        <v>105946</v>
      </c>
      <c r="E9" s="260">
        <f t="shared" si="0"/>
        <v>-312</v>
      </c>
      <c r="F9" s="260">
        <f t="shared" si="0"/>
        <v>0</v>
      </c>
      <c r="G9" s="260">
        <f t="shared" si="0"/>
        <v>0</v>
      </c>
      <c r="H9" s="260">
        <f t="shared" si="0"/>
        <v>0</v>
      </c>
      <c r="I9" s="260">
        <f t="shared" si="0"/>
        <v>-2300</v>
      </c>
      <c r="J9" s="260">
        <f>SUM(J8:J8)</f>
        <v>0</v>
      </c>
      <c r="K9" s="260">
        <f>SUM(K8:K8)</f>
        <v>103334</v>
      </c>
    </row>
    <row r="10" spans="1:11" ht="12.75">
      <c r="A10" s="50"/>
      <c r="B10" s="23"/>
      <c r="C10" s="24"/>
      <c r="D10" s="25"/>
      <c r="E10" s="26"/>
      <c r="F10" s="24"/>
      <c r="G10" s="26"/>
      <c r="H10" s="24"/>
      <c r="I10" s="94"/>
      <c r="J10" s="116"/>
      <c r="K10" s="25"/>
    </row>
    <row r="11" spans="1:11" ht="12.75">
      <c r="A11" s="50" t="s">
        <v>65</v>
      </c>
      <c r="B11" t="s">
        <v>116</v>
      </c>
      <c r="C11" s="24">
        <f>SUM('FY 09-11 DD 1416 Tracker-Total'!P18)</f>
        <v>0</v>
      </c>
      <c r="D11" s="25">
        <f>SUM('FY 09-11 DD 1416 Tracker-Total'!J18)</f>
        <v>0</v>
      </c>
      <c r="E11" s="26">
        <f>SUM('FY 09-11 DD 1416 Tracker-Total'!M18)</f>
        <v>0</v>
      </c>
      <c r="F11" s="24">
        <v>0</v>
      </c>
      <c r="G11" s="26">
        <v>0</v>
      </c>
      <c r="H11" s="24">
        <v>0</v>
      </c>
      <c r="I11" s="94">
        <v>0</v>
      </c>
      <c r="J11" s="116">
        <v>0</v>
      </c>
      <c r="K11" s="59">
        <f>SUM(D11:J11)</f>
        <v>0</v>
      </c>
    </row>
    <row r="12" spans="1:11" ht="12.75">
      <c r="A12" s="50"/>
      <c r="B12" t="s">
        <v>12</v>
      </c>
      <c r="C12" s="24">
        <v>26649</v>
      </c>
      <c r="D12" s="25">
        <v>26649</v>
      </c>
      <c r="E12" s="26">
        <v>-79</v>
      </c>
      <c r="F12" s="24">
        <v>0</v>
      </c>
      <c r="G12" s="26">
        <v>0</v>
      </c>
      <c r="H12" s="24">
        <v>0</v>
      </c>
      <c r="I12" s="94">
        <v>0</v>
      </c>
      <c r="J12" s="116">
        <v>0</v>
      </c>
      <c r="K12" s="59">
        <f>SUM(D12:J12)</f>
        <v>26570</v>
      </c>
    </row>
    <row r="13" spans="1:11" s="11" customFormat="1" ht="12.75">
      <c r="A13" s="257"/>
      <c r="B13" s="259" t="s">
        <v>49</v>
      </c>
      <c r="C13" s="260">
        <f>SUM(C11:C12)</f>
        <v>26649</v>
      </c>
      <c r="D13" s="260">
        <f aca="true" t="shared" si="1" ref="D13:K13">SUM(D11:D12)</f>
        <v>26649</v>
      </c>
      <c r="E13" s="260">
        <f t="shared" si="1"/>
        <v>-79</v>
      </c>
      <c r="F13" s="260">
        <f t="shared" si="1"/>
        <v>0</v>
      </c>
      <c r="G13" s="260">
        <f t="shared" si="1"/>
        <v>0</v>
      </c>
      <c r="H13" s="260">
        <f t="shared" si="1"/>
        <v>0</v>
      </c>
      <c r="I13" s="260">
        <f t="shared" si="1"/>
        <v>0</v>
      </c>
      <c r="J13" s="260">
        <f t="shared" si="1"/>
        <v>0</v>
      </c>
      <c r="K13" s="260">
        <f t="shared" si="1"/>
        <v>26570</v>
      </c>
    </row>
    <row r="14" spans="1:11" ht="12.75">
      <c r="A14" s="50"/>
      <c r="B14" s="23"/>
      <c r="C14" s="24"/>
      <c r="D14" s="25"/>
      <c r="E14" s="26"/>
      <c r="F14" s="24"/>
      <c r="G14" s="26"/>
      <c r="H14" s="24"/>
      <c r="I14" s="94"/>
      <c r="J14" s="116"/>
      <c r="K14" s="25"/>
    </row>
    <row r="15" spans="1:11" ht="12.75">
      <c r="A15" s="50" t="s">
        <v>167</v>
      </c>
      <c r="B15" s="3" t="s">
        <v>6</v>
      </c>
      <c r="C15" s="24">
        <v>54934</v>
      </c>
      <c r="D15" s="25">
        <v>48734</v>
      </c>
      <c r="E15" s="26">
        <v>-144</v>
      </c>
      <c r="F15" s="24">
        <v>0</v>
      </c>
      <c r="G15" s="24">
        <v>0</v>
      </c>
      <c r="H15" s="24">
        <v>0</v>
      </c>
      <c r="I15" s="24">
        <v>0</v>
      </c>
      <c r="J15" s="24">
        <f>-1304+595-3000+396+1980</f>
        <v>-1333</v>
      </c>
      <c r="K15" s="59">
        <f>SUM(D15:J15)</f>
        <v>47257</v>
      </c>
    </row>
    <row r="16" spans="1:11" ht="12.75">
      <c r="A16" s="50"/>
      <c r="B16" s="3" t="s">
        <v>248</v>
      </c>
      <c r="C16" s="24">
        <v>10973</v>
      </c>
      <c r="D16" s="25">
        <v>10973</v>
      </c>
      <c r="E16" s="26">
        <v>-32</v>
      </c>
      <c r="F16" s="24">
        <v>0</v>
      </c>
      <c r="G16" s="24">
        <v>0</v>
      </c>
      <c r="H16" s="24">
        <v>0</v>
      </c>
      <c r="I16" s="24"/>
      <c r="J16" s="24">
        <f>-1900-251</f>
        <v>-2151</v>
      </c>
      <c r="K16" s="59">
        <f aca="true" t="shared" si="2" ref="K16:K25">SUM(D16:J16)</f>
        <v>8790</v>
      </c>
    </row>
    <row r="17" spans="1:11" ht="12.75">
      <c r="A17" s="50"/>
      <c r="B17" s="3" t="s">
        <v>7</v>
      </c>
      <c r="C17" s="24">
        <v>2788</v>
      </c>
      <c r="D17" s="25">
        <v>2788</v>
      </c>
      <c r="E17" s="26">
        <v>-8</v>
      </c>
      <c r="F17" s="24">
        <v>0</v>
      </c>
      <c r="G17" s="24">
        <v>0</v>
      </c>
      <c r="H17" s="24">
        <v>0</v>
      </c>
      <c r="I17" s="24">
        <v>200</v>
      </c>
      <c r="J17" s="24">
        <v>-111</v>
      </c>
      <c r="K17" s="59">
        <f t="shared" si="2"/>
        <v>2869</v>
      </c>
    </row>
    <row r="18" spans="1:11" ht="12.75">
      <c r="A18" s="50"/>
      <c r="B18" s="3" t="s">
        <v>8</v>
      </c>
      <c r="C18" s="24">
        <v>15062</v>
      </c>
      <c r="D18" s="25">
        <v>15062</v>
      </c>
      <c r="E18" s="26">
        <v>-44</v>
      </c>
      <c r="F18" s="24">
        <v>0</v>
      </c>
      <c r="G18" s="24">
        <v>0</v>
      </c>
      <c r="H18" s="24">
        <v>0</v>
      </c>
      <c r="I18" s="24">
        <v>0</v>
      </c>
      <c r="J18" s="24">
        <f>400+529-363</f>
        <v>566</v>
      </c>
      <c r="K18" s="59">
        <f t="shared" si="2"/>
        <v>15584</v>
      </c>
    </row>
    <row r="19" spans="1:11" ht="12.75">
      <c r="A19" s="50"/>
      <c r="B19" s="3" t="s">
        <v>9</v>
      </c>
      <c r="C19" s="24">
        <v>121296</v>
      </c>
      <c r="D19" s="25">
        <v>111296</v>
      </c>
      <c r="E19" s="26">
        <v>-328</v>
      </c>
      <c r="F19" s="24">
        <v>0</v>
      </c>
      <c r="G19" s="24">
        <v>0</v>
      </c>
      <c r="H19" s="24">
        <v>0</v>
      </c>
      <c r="I19" s="24">
        <v>0</v>
      </c>
      <c r="J19" s="24">
        <f>3243+1200+9560-925-1271</f>
        <v>11807</v>
      </c>
      <c r="K19" s="59">
        <f t="shared" si="2"/>
        <v>122775</v>
      </c>
    </row>
    <row r="20" spans="1:11" ht="12.75">
      <c r="A20" s="50"/>
      <c r="B20" s="3" t="s">
        <v>10</v>
      </c>
      <c r="C20" s="24">
        <v>36765</v>
      </c>
      <c r="D20" s="25">
        <v>36765</v>
      </c>
      <c r="E20" s="26">
        <v>-108</v>
      </c>
      <c r="F20" s="24">
        <v>0</v>
      </c>
      <c r="G20" s="24">
        <v>0</v>
      </c>
      <c r="H20" s="24">
        <v>0</v>
      </c>
      <c r="I20" s="24">
        <v>0</v>
      </c>
      <c r="J20" s="24">
        <f>-5958-1373</f>
        <v>-7331</v>
      </c>
      <c r="K20" s="59">
        <f t="shared" si="2"/>
        <v>29326</v>
      </c>
    </row>
    <row r="21" spans="1:11" ht="12.75">
      <c r="A21" s="50"/>
      <c r="B21" s="3" t="s">
        <v>197</v>
      </c>
      <c r="C21" s="24">
        <v>90328</v>
      </c>
      <c r="D21" s="25">
        <v>90328</v>
      </c>
      <c r="E21" s="26">
        <v>-266</v>
      </c>
      <c r="F21" s="24">
        <v>0</v>
      </c>
      <c r="G21" s="24">
        <v>0</v>
      </c>
      <c r="H21" s="24">
        <v>0</v>
      </c>
      <c r="I21" s="24">
        <v>0</v>
      </c>
      <c r="J21" s="24">
        <f>4319-595-6499+1729</f>
        <v>-1046</v>
      </c>
      <c r="K21" s="59">
        <f t="shared" si="2"/>
        <v>89016</v>
      </c>
    </row>
    <row r="22" spans="1:11" ht="12.75">
      <c r="A22" s="50"/>
      <c r="B22" s="3" t="s">
        <v>203</v>
      </c>
      <c r="C22" s="24">
        <v>1895</v>
      </c>
      <c r="D22" s="25">
        <v>1894</v>
      </c>
      <c r="E22" s="26">
        <v>-6</v>
      </c>
      <c r="F22" s="24">
        <v>0</v>
      </c>
      <c r="G22" s="24">
        <v>0</v>
      </c>
      <c r="H22" s="24">
        <v>0</v>
      </c>
      <c r="I22" s="24">
        <v>0</v>
      </c>
      <c r="J22" s="24">
        <f>0-60</f>
        <v>-60</v>
      </c>
      <c r="K22" s="59">
        <f t="shared" si="2"/>
        <v>1828</v>
      </c>
    </row>
    <row r="23" spans="1:11" ht="12.75">
      <c r="A23" s="50"/>
      <c r="B23" s="117" t="s">
        <v>184</v>
      </c>
      <c r="C23" s="24">
        <v>0</v>
      </c>
      <c r="D23" s="25">
        <v>0</v>
      </c>
      <c r="E23" s="26">
        <v>0</v>
      </c>
      <c r="F23" s="24">
        <v>0</v>
      </c>
      <c r="G23" s="24">
        <v>0</v>
      </c>
      <c r="H23" s="24">
        <v>0</v>
      </c>
      <c r="I23" s="24">
        <v>1316</v>
      </c>
      <c r="J23" s="24">
        <v>0</v>
      </c>
      <c r="K23" s="59">
        <f t="shared" si="2"/>
        <v>1316</v>
      </c>
    </row>
    <row r="24" spans="1:11" ht="12.75">
      <c r="A24" s="50"/>
      <c r="B24" s="117" t="s">
        <v>212</v>
      </c>
      <c r="C24" s="24">
        <v>7952</v>
      </c>
      <c r="D24" s="25">
        <v>4000</v>
      </c>
      <c r="E24" s="26">
        <v>-12</v>
      </c>
      <c r="F24" s="24">
        <v>0</v>
      </c>
      <c r="G24" s="24">
        <v>0</v>
      </c>
      <c r="H24" s="24">
        <v>0</v>
      </c>
      <c r="I24" s="24">
        <v>0</v>
      </c>
      <c r="J24" s="24">
        <f>0-61-280</f>
        <v>-341</v>
      </c>
      <c r="K24" s="59">
        <f t="shared" si="2"/>
        <v>3647</v>
      </c>
    </row>
    <row r="25" spans="1:11" ht="12.75">
      <c r="A25" s="50"/>
      <c r="B25" s="117" t="s">
        <v>213</v>
      </c>
      <c r="C25" s="24">
        <v>19100</v>
      </c>
      <c r="D25" s="25">
        <v>19100</v>
      </c>
      <c r="E25" s="26">
        <v>-56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59">
        <f t="shared" si="2"/>
        <v>19044</v>
      </c>
    </row>
    <row r="26" spans="1:11" s="11" customFormat="1" ht="12.75">
      <c r="A26" s="257"/>
      <c r="B26" s="259" t="s">
        <v>67</v>
      </c>
      <c r="C26" s="260">
        <f>SUM(C15:C25)-1</f>
        <v>361092</v>
      </c>
      <c r="D26" s="260">
        <f aca="true" t="shared" si="3" ref="D26:K26">SUM(D15:D25)</f>
        <v>340940</v>
      </c>
      <c r="E26" s="261">
        <f t="shared" si="3"/>
        <v>-1004</v>
      </c>
      <c r="F26" s="260">
        <f t="shared" si="3"/>
        <v>0</v>
      </c>
      <c r="G26" s="262">
        <f t="shared" si="3"/>
        <v>0</v>
      </c>
      <c r="H26" s="260">
        <f t="shared" si="3"/>
        <v>0</v>
      </c>
      <c r="I26" s="260">
        <f t="shared" si="3"/>
        <v>1516</v>
      </c>
      <c r="J26" s="260">
        <f t="shared" si="3"/>
        <v>0</v>
      </c>
      <c r="K26" s="260">
        <f t="shared" si="3"/>
        <v>341452</v>
      </c>
    </row>
    <row r="27" spans="1:11" ht="12.75">
      <c r="A27" s="50"/>
      <c r="B27" s="23"/>
      <c r="C27" s="24"/>
      <c r="D27" s="25"/>
      <c r="E27" s="26"/>
      <c r="F27" s="24"/>
      <c r="G27" s="26"/>
      <c r="H27" s="24"/>
      <c r="I27" s="94"/>
      <c r="J27" s="116"/>
      <c r="K27" s="25"/>
    </row>
    <row r="28" spans="1:11" ht="12.75">
      <c r="A28" s="50" t="s">
        <v>61</v>
      </c>
      <c r="B28" t="s">
        <v>12</v>
      </c>
      <c r="C28" s="24">
        <v>8789</v>
      </c>
      <c r="D28" s="25">
        <v>8789</v>
      </c>
      <c r="E28" s="26">
        <v>-26</v>
      </c>
      <c r="F28" s="24">
        <v>0</v>
      </c>
      <c r="G28" s="26">
        <v>0</v>
      </c>
      <c r="H28" s="24">
        <v>0</v>
      </c>
      <c r="I28" s="94">
        <v>0</v>
      </c>
      <c r="J28" s="116">
        <v>0</v>
      </c>
      <c r="K28" s="59">
        <f>SUM(D28:J28)</f>
        <v>8763</v>
      </c>
    </row>
    <row r="29" spans="1:11" ht="12.75">
      <c r="A29" s="257"/>
      <c r="B29" s="259" t="s">
        <v>117</v>
      </c>
      <c r="C29" s="260">
        <f>SUM(C28)</f>
        <v>8789</v>
      </c>
      <c r="D29" s="260">
        <f aca="true" t="shared" si="4" ref="D29:K29">SUM(D28)</f>
        <v>8789</v>
      </c>
      <c r="E29" s="260">
        <f t="shared" si="4"/>
        <v>-26</v>
      </c>
      <c r="F29" s="260">
        <f t="shared" si="4"/>
        <v>0</v>
      </c>
      <c r="G29" s="260">
        <f t="shared" si="4"/>
        <v>0</v>
      </c>
      <c r="H29" s="260">
        <f t="shared" si="4"/>
        <v>0</v>
      </c>
      <c r="I29" s="260">
        <f t="shared" si="4"/>
        <v>0</v>
      </c>
      <c r="J29" s="260">
        <f t="shared" si="4"/>
        <v>0</v>
      </c>
      <c r="K29" s="260">
        <f t="shared" si="4"/>
        <v>8763</v>
      </c>
    </row>
    <row r="30" spans="1:11" ht="12.75">
      <c r="A30" s="50"/>
      <c r="B30" s="34"/>
      <c r="C30" s="24"/>
      <c r="D30" s="25"/>
      <c r="E30" s="26"/>
      <c r="F30" s="24"/>
      <c r="G30" s="26"/>
      <c r="H30" s="24"/>
      <c r="I30" s="94"/>
      <c r="J30" s="116"/>
      <c r="K30" s="25"/>
    </row>
    <row r="31" spans="1:11" ht="12.75">
      <c r="A31" s="50" t="s">
        <v>60</v>
      </c>
      <c r="B31" t="s">
        <v>118</v>
      </c>
      <c r="C31" s="24">
        <v>1523</v>
      </c>
      <c r="D31" s="25">
        <v>3923</v>
      </c>
      <c r="E31" s="26">
        <v>-12</v>
      </c>
      <c r="F31" s="24">
        <v>0</v>
      </c>
      <c r="G31" s="26">
        <v>0</v>
      </c>
      <c r="H31" s="24">
        <v>0</v>
      </c>
      <c r="I31" s="94">
        <v>-2400</v>
      </c>
      <c r="J31" s="116">
        <v>0</v>
      </c>
      <c r="K31" s="59">
        <f>SUM(D31:J31)</f>
        <v>1511</v>
      </c>
    </row>
    <row r="32" spans="1:11" s="11" customFormat="1" ht="12.75">
      <c r="A32" s="257"/>
      <c r="B32" s="259" t="s">
        <v>119</v>
      </c>
      <c r="C32" s="260">
        <f>SUM(C31)</f>
        <v>1523</v>
      </c>
      <c r="D32" s="260">
        <f aca="true" t="shared" si="5" ref="D32:K32">SUM(D31)</f>
        <v>3923</v>
      </c>
      <c r="E32" s="260">
        <f t="shared" si="5"/>
        <v>-12</v>
      </c>
      <c r="F32" s="260">
        <f t="shared" si="5"/>
        <v>0</v>
      </c>
      <c r="G32" s="260">
        <f t="shared" si="5"/>
        <v>0</v>
      </c>
      <c r="H32" s="260">
        <f t="shared" si="5"/>
        <v>0</v>
      </c>
      <c r="I32" s="260">
        <f t="shared" si="5"/>
        <v>-2400</v>
      </c>
      <c r="J32" s="260">
        <f t="shared" si="5"/>
        <v>0</v>
      </c>
      <c r="K32" s="260">
        <f t="shared" si="5"/>
        <v>1511</v>
      </c>
    </row>
    <row r="33" spans="1:11" ht="12.75">
      <c r="A33" s="50"/>
      <c r="B33" s="34"/>
      <c r="C33" s="24"/>
      <c r="D33" s="25"/>
      <c r="E33" s="26"/>
      <c r="F33" s="24"/>
      <c r="G33" s="26"/>
      <c r="H33" s="24"/>
      <c r="I33" s="94"/>
      <c r="J33" s="116"/>
      <c r="K33" s="25"/>
    </row>
    <row r="34" spans="1:11" ht="12.75">
      <c r="A34" s="50" t="s">
        <v>64</v>
      </c>
      <c r="B34" t="s">
        <v>12</v>
      </c>
      <c r="C34" s="24">
        <v>25897</v>
      </c>
      <c r="D34" s="25">
        <v>25897</v>
      </c>
      <c r="E34" s="26">
        <v>-86</v>
      </c>
      <c r="F34" s="24">
        <v>0</v>
      </c>
      <c r="G34" s="26">
        <v>0</v>
      </c>
      <c r="H34" s="24">
        <v>0</v>
      </c>
      <c r="I34" s="94">
        <f>-276-1</f>
        <v>-277</v>
      </c>
      <c r="J34" s="116">
        <v>0</v>
      </c>
      <c r="K34" s="59">
        <f>SUM(D34:J34)+2-1</f>
        <v>25535</v>
      </c>
    </row>
    <row r="35" spans="1:11" s="11" customFormat="1" ht="12.75">
      <c r="A35" s="257"/>
      <c r="B35" s="259" t="s">
        <v>121</v>
      </c>
      <c r="C35" s="260">
        <f>SUM(C34)</f>
        <v>25897</v>
      </c>
      <c r="D35" s="260">
        <f aca="true" t="shared" si="6" ref="D35:K35">SUM(D34)</f>
        <v>25897</v>
      </c>
      <c r="E35" s="260">
        <f t="shared" si="6"/>
        <v>-86</v>
      </c>
      <c r="F35" s="260">
        <f t="shared" si="6"/>
        <v>0</v>
      </c>
      <c r="G35" s="260">
        <f t="shared" si="6"/>
        <v>0</v>
      </c>
      <c r="H35" s="260">
        <f t="shared" si="6"/>
        <v>0</v>
      </c>
      <c r="I35" s="260">
        <f t="shared" si="6"/>
        <v>-277</v>
      </c>
      <c r="J35" s="260">
        <f t="shared" si="6"/>
        <v>0</v>
      </c>
      <c r="K35" s="260">
        <f t="shared" si="6"/>
        <v>25535</v>
      </c>
    </row>
    <row r="36" spans="1:11" ht="12.75">
      <c r="A36" s="50"/>
      <c r="B36" s="34"/>
      <c r="C36" s="24"/>
      <c r="D36" s="25"/>
      <c r="E36" s="26"/>
      <c r="F36" s="24"/>
      <c r="G36" s="26"/>
      <c r="H36" s="24"/>
      <c r="I36" s="94"/>
      <c r="J36" s="116"/>
      <c r="K36" s="25"/>
    </row>
    <row r="37" spans="1:11" ht="12.75">
      <c r="A37" s="50" t="s">
        <v>168</v>
      </c>
      <c r="B37" t="s">
        <v>15</v>
      </c>
      <c r="C37" s="24">
        <v>19214</v>
      </c>
      <c r="D37" s="25">
        <v>10014</v>
      </c>
      <c r="E37" s="26">
        <v>-30</v>
      </c>
      <c r="F37" s="24">
        <v>0</v>
      </c>
      <c r="G37" s="26">
        <v>0</v>
      </c>
      <c r="H37" s="24">
        <v>0</v>
      </c>
      <c r="I37" s="94">
        <v>0</v>
      </c>
      <c r="J37" s="116">
        <v>0</v>
      </c>
      <c r="K37" s="59">
        <f>SUM(D37:J37)</f>
        <v>9984</v>
      </c>
    </row>
    <row r="38" spans="1:11" s="11" customFormat="1" ht="12.75">
      <c r="A38" s="257"/>
      <c r="B38" s="259" t="s">
        <v>122</v>
      </c>
      <c r="C38" s="260">
        <f>SUM(C37)</f>
        <v>19214</v>
      </c>
      <c r="D38" s="260">
        <f aca="true" t="shared" si="7" ref="D38:K38">SUM(D37)</f>
        <v>10014</v>
      </c>
      <c r="E38" s="260">
        <f t="shared" si="7"/>
        <v>-30</v>
      </c>
      <c r="F38" s="260">
        <f t="shared" si="7"/>
        <v>0</v>
      </c>
      <c r="G38" s="260">
        <f t="shared" si="7"/>
        <v>0</v>
      </c>
      <c r="H38" s="260">
        <f t="shared" si="7"/>
        <v>0</v>
      </c>
      <c r="I38" s="260">
        <f t="shared" si="7"/>
        <v>0</v>
      </c>
      <c r="J38" s="260">
        <f t="shared" si="7"/>
        <v>0</v>
      </c>
      <c r="K38" s="260">
        <f t="shared" si="7"/>
        <v>9984</v>
      </c>
    </row>
    <row r="39" spans="1:11" ht="12.75">
      <c r="A39" s="50"/>
      <c r="B39" s="35"/>
      <c r="C39" s="24"/>
      <c r="D39" s="25"/>
      <c r="E39" s="26"/>
      <c r="F39" s="24"/>
      <c r="G39" s="26"/>
      <c r="H39" s="24"/>
      <c r="I39" s="94"/>
      <c r="J39" s="116"/>
      <c r="K39" s="25"/>
    </row>
    <row r="40" spans="1:11" ht="12.75">
      <c r="A40" s="50" t="s">
        <v>62</v>
      </c>
      <c r="B40" t="s">
        <v>17</v>
      </c>
      <c r="C40" s="24">
        <v>5621</v>
      </c>
      <c r="D40" s="25">
        <v>8821</v>
      </c>
      <c r="E40" s="26">
        <v>-17</v>
      </c>
      <c r="F40" s="24">
        <v>0</v>
      </c>
      <c r="G40" s="26">
        <v>0</v>
      </c>
      <c r="H40" s="24">
        <v>0</v>
      </c>
      <c r="I40" s="94">
        <v>0</v>
      </c>
      <c r="J40" s="116">
        <v>0</v>
      </c>
      <c r="K40" s="59">
        <f>SUM(D40:J40)</f>
        <v>8804</v>
      </c>
    </row>
    <row r="41" spans="1:11" s="11" customFormat="1" ht="12.75">
      <c r="A41" s="257"/>
      <c r="B41" s="259" t="s">
        <v>66</v>
      </c>
      <c r="C41" s="260">
        <f>SUM(C40)</f>
        <v>5621</v>
      </c>
      <c r="D41" s="260">
        <f aca="true" t="shared" si="8" ref="D41:K41">SUM(D40)</f>
        <v>8821</v>
      </c>
      <c r="E41" s="260">
        <f t="shared" si="8"/>
        <v>-17</v>
      </c>
      <c r="F41" s="260">
        <f t="shared" si="8"/>
        <v>0</v>
      </c>
      <c r="G41" s="260">
        <f t="shared" si="8"/>
        <v>0</v>
      </c>
      <c r="H41" s="260">
        <f t="shared" si="8"/>
        <v>0</v>
      </c>
      <c r="I41" s="260">
        <f t="shared" si="8"/>
        <v>0</v>
      </c>
      <c r="J41" s="260">
        <f t="shared" si="8"/>
        <v>0</v>
      </c>
      <c r="K41" s="260">
        <f t="shared" si="8"/>
        <v>8804</v>
      </c>
    </row>
    <row r="42" spans="1:11" ht="12.75">
      <c r="A42" s="50"/>
      <c r="B42" s="23"/>
      <c r="C42" s="24"/>
      <c r="D42" s="25"/>
      <c r="E42" s="26"/>
      <c r="F42" s="24"/>
      <c r="G42" s="26"/>
      <c r="H42" s="24"/>
      <c r="I42" s="94"/>
      <c r="J42" s="116"/>
      <c r="K42" s="25"/>
    </row>
    <row r="43" spans="1:11" ht="12.75">
      <c r="A43" s="50" t="s">
        <v>169</v>
      </c>
      <c r="B43" t="s">
        <v>12</v>
      </c>
      <c r="C43" s="24">
        <v>11158</v>
      </c>
      <c r="D43" s="25">
        <v>11158</v>
      </c>
      <c r="E43" s="26">
        <v>-33</v>
      </c>
      <c r="F43" s="24">
        <v>0</v>
      </c>
      <c r="G43" s="26">
        <v>0</v>
      </c>
      <c r="H43" s="24">
        <v>0</v>
      </c>
      <c r="I43" s="94">
        <v>0</v>
      </c>
      <c r="J43" s="116">
        <v>0</v>
      </c>
      <c r="K43" s="59">
        <f>SUM(D43:J43)</f>
        <v>11125</v>
      </c>
    </row>
    <row r="44" spans="1:11" s="11" customFormat="1" ht="12.75">
      <c r="A44" s="257"/>
      <c r="B44" s="259" t="s">
        <v>123</v>
      </c>
      <c r="C44" s="260">
        <f>SUM(C43)</f>
        <v>11158</v>
      </c>
      <c r="D44" s="260">
        <f aca="true" t="shared" si="9" ref="D44:K44">SUM(D43)</f>
        <v>11158</v>
      </c>
      <c r="E44" s="260">
        <f t="shared" si="9"/>
        <v>-33</v>
      </c>
      <c r="F44" s="260">
        <f t="shared" si="9"/>
        <v>0</v>
      </c>
      <c r="G44" s="260">
        <f t="shared" si="9"/>
        <v>0</v>
      </c>
      <c r="H44" s="260">
        <f t="shared" si="9"/>
        <v>0</v>
      </c>
      <c r="I44" s="260">
        <f t="shared" si="9"/>
        <v>0</v>
      </c>
      <c r="J44" s="260">
        <f t="shared" si="9"/>
        <v>0</v>
      </c>
      <c r="K44" s="260">
        <f t="shared" si="9"/>
        <v>11125</v>
      </c>
    </row>
    <row r="45" spans="1:11" ht="12.75">
      <c r="A45" s="50"/>
      <c r="B45" s="23"/>
      <c r="C45" s="24"/>
      <c r="D45" s="25"/>
      <c r="E45" s="26"/>
      <c r="F45" s="24"/>
      <c r="G45" s="26"/>
      <c r="H45" s="24"/>
      <c r="I45" s="94"/>
      <c r="J45" s="116"/>
      <c r="K45" s="25"/>
    </row>
    <row r="46" spans="1:11" ht="12.75">
      <c r="A46" s="50" t="s">
        <v>170</v>
      </c>
      <c r="B46" t="s">
        <v>124</v>
      </c>
      <c r="C46" s="24">
        <v>1498</v>
      </c>
      <c r="D46" s="25">
        <v>1498</v>
      </c>
      <c r="E46" s="26">
        <v>-4</v>
      </c>
      <c r="F46" s="24">
        <v>0</v>
      </c>
      <c r="G46" s="26">
        <v>0</v>
      </c>
      <c r="H46" s="24">
        <v>0</v>
      </c>
      <c r="I46" s="94">
        <v>0</v>
      </c>
      <c r="J46" s="116">
        <v>0</v>
      </c>
      <c r="K46" s="59">
        <f>SUM(D46:J46)</f>
        <v>1494</v>
      </c>
    </row>
    <row r="47" spans="1:11" s="11" customFormat="1" ht="12.75">
      <c r="A47" s="257"/>
      <c r="B47" s="259" t="s">
        <v>125</v>
      </c>
      <c r="C47" s="260">
        <f>SUM(C46)</f>
        <v>1498</v>
      </c>
      <c r="D47" s="260">
        <f aca="true" t="shared" si="10" ref="D47:K47">SUM(D46)</f>
        <v>1498</v>
      </c>
      <c r="E47" s="260">
        <f t="shared" si="10"/>
        <v>-4</v>
      </c>
      <c r="F47" s="260">
        <f t="shared" si="10"/>
        <v>0</v>
      </c>
      <c r="G47" s="260">
        <f t="shared" si="10"/>
        <v>0</v>
      </c>
      <c r="H47" s="260">
        <f t="shared" si="10"/>
        <v>0</v>
      </c>
      <c r="I47" s="260">
        <f t="shared" si="10"/>
        <v>0</v>
      </c>
      <c r="J47" s="260">
        <f t="shared" si="10"/>
        <v>0</v>
      </c>
      <c r="K47" s="260">
        <f t="shared" si="10"/>
        <v>1494</v>
      </c>
    </row>
    <row r="48" spans="1:11" ht="12.75">
      <c r="A48" s="50"/>
      <c r="B48" s="34"/>
      <c r="C48" s="24"/>
      <c r="D48" s="25"/>
      <c r="E48" s="26"/>
      <c r="F48" s="24"/>
      <c r="G48" s="26"/>
      <c r="H48" s="24"/>
      <c r="I48" s="94"/>
      <c r="J48" s="116"/>
      <c r="K48" s="25"/>
    </row>
    <row r="49" spans="1:11" ht="12.75">
      <c r="A49" s="50" t="s">
        <v>171</v>
      </c>
      <c r="B49" t="s">
        <v>12</v>
      </c>
      <c r="C49" s="24">
        <v>2149</v>
      </c>
      <c r="D49" s="25">
        <v>2149</v>
      </c>
      <c r="E49" s="26">
        <v>-6</v>
      </c>
      <c r="F49" s="24">
        <v>0</v>
      </c>
      <c r="G49" s="26">
        <v>0</v>
      </c>
      <c r="H49" s="24">
        <v>0</v>
      </c>
      <c r="I49" s="94">
        <v>0</v>
      </c>
      <c r="J49" s="116">
        <v>0</v>
      </c>
      <c r="K49" s="59">
        <f>SUM(D49:J49)</f>
        <v>2143</v>
      </c>
    </row>
    <row r="50" spans="1:11" s="11" customFormat="1" ht="12.75">
      <c r="A50" s="257"/>
      <c r="B50" s="259" t="s">
        <v>126</v>
      </c>
      <c r="C50" s="260">
        <f>SUM(C49)</f>
        <v>2149</v>
      </c>
      <c r="D50" s="260">
        <f aca="true" t="shared" si="11" ref="D50:K50">SUM(D49)</f>
        <v>2149</v>
      </c>
      <c r="E50" s="260">
        <f t="shared" si="11"/>
        <v>-6</v>
      </c>
      <c r="F50" s="260">
        <f t="shared" si="11"/>
        <v>0</v>
      </c>
      <c r="G50" s="260">
        <f t="shared" si="11"/>
        <v>0</v>
      </c>
      <c r="H50" s="260">
        <f t="shared" si="11"/>
        <v>0</v>
      </c>
      <c r="I50" s="260">
        <f t="shared" si="11"/>
        <v>0</v>
      </c>
      <c r="J50" s="260">
        <f t="shared" si="11"/>
        <v>0</v>
      </c>
      <c r="K50" s="260">
        <f t="shared" si="11"/>
        <v>2143</v>
      </c>
    </row>
    <row r="51" spans="1:11" ht="12.75">
      <c r="A51" s="50"/>
      <c r="B51" s="23"/>
      <c r="C51" s="24"/>
      <c r="D51" s="25"/>
      <c r="E51" s="26"/>
      <c r="F51" s="24"/>
      <c r="G51" s="26"/>
      <c r="H51" s="24"/>
      <c r="I51" s="94"/>
      <c r="J51" s="116"/>
      <c r="K51" s="25"/>
    </row>
    <row r="52" spans="1:11" ht="12.75">
      <c r="A52" s="50" t="s">
        <v>172</v>
      </c>
      <c r="B52" t="s">
        <v>12</v>
      </c>
      <c r="C52" s="24">
        <v>689</v>
      </c>
      <c r="D52" s="25">
        <v>689</v>
      </c>
      <c r="E52" s="26">
        <v>-2</v>
      </c>
      <c r="F52" s="24">
        <v>0</v>
      </c>
      <c r="G52" s="26">
        <v>0</v>
      </c>
      <c r="H52" s="24">
        <v>0</v>
      </c>
      <c r="I52" s="94">
        <v>0</v>
      </c>
      <c r="J52" s="116">
        <v>0</v>
      </c>
      <c r="K52" s="59">
        <f>SUM(D52:J52)</f>
        <v>687</v>
      </c>
    </row>
    <row r="53" spans="1:11" s="11" customFormat="1" ht="12.75">
      <c r="A53" s="257"/>
      <c r="B53" s="259" t="s">
        <v>127</v>
      </c>
      <c r="C53" s="260">
        <f>SUM(C52)</f>
        <v>689</v>
      </c>
      <c r="D53" s="260">
        <f aca="true" t="shared" si="12" ref="D53:K53">SUM(D52)</f>
        <v>689</v>
      </c>
      <c r="E53" s="260">
        <f t="shared" si="12"/>
        <v>-2</v>
      </c>
      <c r="F53" s="260">
        <f t="shared" si="12"/>
        <v>0</v>
      </c>
      <c r="G53" s="260">
        <f t="shared" si="12"/>
        <v>0</v>
      </c>
      <c r="H53" s="260">
        <f t="shared" si="12"/>
        <v>0</v>
      </c>
      <c r="I53" s="260">
        <f t="shared" si="12"/>
        <v>0</v>
      </c>
      <c r="J53" s="260">
        <f t="shared" si="12"/>
        <v>0</v>
      </c>
      <c r="K53" s="260">
        <f t="shared" si="12"/>
        <v>687</v>
      </c>
    </row>
    <row r="54" spans="1:11" s="11" customFormat="1" ht="12.75">
      <c r="A54" s="50"/>
      <c r="C54" s="56"/>
      <c r="D54" s="56"/>
      <c r="E54" s="56"/>
      <c r="F54" s="56"/>
      <c r="G54" s="56"/>
      <c r="H54" s="56"/>
      <c r="I54" s="124"/>
      <c r="J54" s="124"/>
      <c r="K54" s="56"/>
    </row>
    <row r="55" spans="1:11" s="11" customFormat="1" ht="12.75">
      <c r="A55" s="50" t="s">
        <v>205</v>
      </c>
      <c r="B55" s="27" t="s">
        <v>206</v>
      </c>
      <c r="C55" s="24">
        <v>436</v>
      </c>
      <c r="D55" s="25">
        <v>436</v>
      </c>
      <c r="E55" s="26">
        <v>-1</v>
      </c>
      <c r="F55" s="24">
        <v>0</v>
      </c>
      <c r="G55" s="26">
        <v>0</v>
      </c>
      <c r="H55" s="24">
        <v>0</v>
      </c>
      <c r="I55" s="94">
        <v>0</v>
      </c>
      <c r="J55" s="116">
        <v>0</v>
      </c>
      <c r="K55" s="59">
        <f>SUM(D55:J55)</f>
        <v>435</v>
      </c>
    </row>
    <row r="56" spans="1:11" s="11" customFormat="1" ht="12.75">
      <c r="A56" s="257"/>
      <c r="B56" s="259" t="s">
        <v>204</v>
      </c>
      <c r="C56" s="260">
        <f>SUM(C55)</f>
        <v>436</v>
      </c>
      <c r="D56" s="260">
        <f aca="true" t="shared" si="13" ref="D56:K56">SUM(D55)</f>
        <v>436</v>
      </c>
      <c r="E56" s="260">
        <f t="shared" si="13"/>
        <v>-1</v>
      </c>
      <c r="F56" s="260">
        <f t="shared" si="13"/>
        <v>0</v>
      </c>
      <c r="G56" s="260">
        <f t="shared" si="13"/>
        <v>0</v>
      </c>
      <c r="H56" s="260">
        <f t="shared" si="13"/>
        <v>0</v>
      </c>
      <c r="I56" s="260">
        <f t="shared" si="13"/>
        <v>0</v>
      </c>
      <c r="J56" s="260">
        <f t="shared" si="13"/>
        <v>0</v>
      </c>
      <c r="K56" s="260">
        <f t="shared" si="13"/>
        <v>435</v>
      </c>
    </row>
    <row r="57" spans="1:11" s="11" customFormat="1" ht="12.75">
      <c r="A57" s="50"/>
      <c r="C57" s="56"/>
      <c r="D57" s="56"/>
      <c r="E57" s="56"/>
      <c r="F57" s="56"/>
      <c r="G57" s="56"/>
      <c r="H57" s="56"/>
      <c r="I57" s="124"/>
      <c r="J57" s="124"/>
      <c r="K57" s="56"/>
    </row>
    <row r="58" spans="1:11" s="11" customFormat="1" ht="12.75">
      <c r="A58" s="50" t="s">
        <v>179</v>
      </c>
      <c r="B58" s="93" t="s">
        <v>4</v>
      </c>
      <c r="C58" s="116">
        <v>4505</v>
      </c>
      <c r="D58" s="25">
        <v>4505</v>
      </c>
      <c r="E58" s="116">
        <v>-13</v>
      </c>
      <c r="F58" s="116">
        <v>0</v>
      </c>
      <c r="G58" s="26">
        <v>0</v>
      </c>
      <c r="H58" s="116">
        <v>0</v>
      </c>
      <c r="I58" s="94">
        <v>0</v>
      </c>
      <c r="J58" s="116">
        <f>SUM('FY 09-11 DD 1416 Tracker-Total'!AU70)</f>
        <v>0</v>
      </c>
      <c r="K58" s="59">
        <f>SUM(D58:J58)</f>
        <v>4492</v>
      </c>
    </row>
    <row r="59" spans="1:11" s="11" customFormat="1" ht="12.75">
      <c r="A59" s="257"/>
      <c r="B59" s="259" t="s">
        <v>48</v>
      </c>
      <c r="C59" s="260">
        <f aca="true" t="shared" si="14" ref="C59:K59">SUM(C58)</f>
        <v>4505</v>
      </c>
      <c r="D59" s="260">
        <f t="shared" si="14"/>
        <v>4505</v>
      </c>
      <c r="E59" s="260">
        <f t="shared" si="14"/>
        <v>-13</v>
      </c>
      <c r="F59" s="260">
        <f t="shared" si="14"/>
        <v>0</v>
      </c>
      <c r="G59" s="260">
        <f t="shared" si="14"/>
        <v>0</v>
      </c>
      <c r="H59" s="260">
        <f t="shared" si="14"/>
        <v>0</v>
      </c>
      <c r="I59" s="260">
        <f t="shared" si="14"/>
        <v>0</v>
      </c>
      <c r="J59" s="260">
        <f t="shared" si="14"/>
        <v>0</v>
      </c>
      <c r="K59" s="260">
        <f t="shared" si="14"/>
        <v>4492</v>
      </c>
    </row>
    <row r="60" spans="1:11" s="11" customFormat="1" ht="13.5" thickBot="1">
      <c r="A60" s="50"/>
      <c r="C60" s="56"/>
      <c r="D60" s="56"/>
      <c r="E60" s="56"/>
      <c r="F60" s="56"/>
      <c r="G60" s="56"/>
      <c r="H60" s="56"/>
      <c r="I60" s="124"/>
      <c r="J60" s="124"/>
      <c r="K60" s="56"/>
    </row>
    <row r="61" spans="1:11" s="52" customFormat="1" ht="13.5" thickBot="1">
      <c r="A61" s="245"/>
      <c r="B61" s="51" t="s">
        <v>232</v>
      </c>
      <c r="C61" s="38">
        <f>SUM(C9+C13+C26+C29+C32+C35+C38+C41+C44+C47+C50+C53+C56+C59)</f>
        <v>575166</v>
      </c>
      <c r="D61" s="38">
        <f aca="true" t="shared" si="15" ref="D61:K61">SUM(D9+D13+D26+D29+D32+D35+D38+D41+D44+D47+D50+D53+D56+D59)</f>
        <v>551414</v>
      </c>
      <c r="E61" s="38">
        <f t="shared" si="15"/>
        <v>-1625</v>
      </c>
      <c r="F61" s="38">
        <f t="shared" si="15"/>
        <v>0</v>
      </c>
      <c r="G61" s="38">
        <f t="shared" si="15"/>
        <v>0</v>
      </c>
      <c r="H61" s="38">
        <f t="shared" si="15"/>
        <v>0</v>
      </c>
      <c r="I61" s="38">
        <f t="shared" si="15"/>
        <v>-3461</v>
      </c>
      <c r="J61" s="38">
        <f t="shared" si="15"/>
        <v>0</v>
      </c>
      <c r="K61" s="38">
        <f t="shared" si="15"/>
        <v>546329</v>
      </c>
    </row>
    <row r="62" spans="1:11" ht="12.75">
      <c r="A62" s="246"/>
      <c r="B62" s="36"/>
      <c r="C62" s="24"/>
      <c r="D62" s="25"/>
      <c r="E62" s="26"/>
      <c r="F62" s="24"/>
      <c r="G62" s="26"/>
      <c r="H62" s="24"/>
      <c r="I62" s="94"/>
      <c r="J62" s="116"/>
      <c r="K62" s="25"/>
    </row>
    <row r="63" spans="1:13" ht="12.75">
      <c r="A63" s="50" t="s">
        <v>174</v>
      </c>
      <c r="B63" s="3" t="s">
        <v>22</v>
      </c>
      <c r="C63" s="24">
        <v>51950</v>
      </c>
      <c r="D63" s="25">
        <v>89350</v>
      </c>
      <c r="E63" s="26">
        <v>-153</v>
      </c>
      <c r="F63" s="24">
        <v>0</v>
      </c>
      <c r="G63" s="26">
        <v>0</v>
      </c>
      <c r="H63" s="24">
        <v>0</v>
      </c>
      <c r="I63" s="94">
        <v>0</v>
      </c>
      <c r="J63" s="116">
        <f>4194+2128-2678</f>
        <v>3644</v>
      </c>
      <c r="K63" s="59">
        <f>SUM(D63:J63)</f>
        <v>92841</v>
      </c>
      <c r="L63" s="16"/>
      <c r="M63" s="16"/>
    </row>
    <row r="64" spans="1:13" ht="12.75">
      <c r="A64" s="50"/>
      <c r="B64" s="3" t="s">
        <v>254</v>
      </c>
      <c r="C64" s="24">
        <v>63667</v>
      </c>
      <c r="D64" s="25">
        <v>63667</v>
      </c>
      <c r="E64" s="26">
        <v>-188</v>
      </c>
      <c r="F64" s="24">
        <v>0</v>
      </c>
      <c r="G64" s="26">
        <v>0</v>
      </c>
      <c r="H64" s="24">
        <v>0</v>
      </c>
      <c r="I64" s="94">
        <v>366</v>
      </c>
      <c r="J64" s="116">
        <f>11201-2128+2527</f>
        <v>11600</v>
      </c>
      <c r="K64" s="59">
        <f aca="true" t="shared" si="16" ref="K64:K98">SUM(D64:J64)</f>
        <v>75445</v>
      </c>
      <c r="L64" s="16"/>
      <c r="M64" s="16"/>
    </row>
    <row r="65" spans="1:13" ht="12.75">
      <c r="A65" s="50"/>
      <c r="B65" s="3" t="s">
        <v>23</v>
      </c>
      <c r="C65" s="24">
        <v>98163</v>
      </c>
      <c r="D65" s="25">
        <v>98163</v>
      </c>
      <c r="E65" s="26">
        <v>-400</v>
      </c>
      <c r="F65" s="24">
        <v>0</v>
      </c>
      <c r="G65" s="26">
        <v>0</v>
      </c>
      <c r="H65" s="24">
        <v>0</v>
      </c>
      <c r="I65" s="94">
        <v>0</v>
      </c>
      <c r="J65" s="116">
        <v>-1800</v>
      </c>
      <c r="K65" s="59">
        <f t="shared" si="16"/>
        <v>95963</v>
      </c>
      <c r="L65" s="16"/>
      <c r="M65" s="16"/>
    </row>
    <row r="66" spans="1:13" ht="12.75">
      <c r="A66" s="50"/>
      <c r="B66" s="3" t="s">
        <v>133</v>
      </c>
      <c r="C66" s="24">
        <v>39172</v>
      </c>
      <c r="D66" s="25">
        <v>39172</v>
      </c>
      <c r="E66" s="26">
        <v>-116</v>
      </c>
      <c r="F66" s="24">
        <v>0</v>
      </c>
      <c r="G66" s="26">
        <v>0</v>
      </c>
      <c r="H66" s="24">
        <v>0</v>
      </c>
      <c r="I66" s="94">
        <v>0</v>
      </c>
      <c r="J66" s="116">
        <v>10740</v>
      </c>
      <c r="K66" s="59">
        <f t="shared" si="16"/>
        <v>49796</v>
      </c>
      <c r="L66" s="16"/>
      <c r="M66" s="16"/>
    </row>
    <row r="67" spans="1:13" ht="12.75">
      <c r="A67" s="50"/>
      <c r="B67" s="3" t="s">
        <v>134</v>
      </c>
      <c r="C67" s="24">
        <v>36286</v>
      </c>
      <c r="D67" s="25">
        <v>11286</v>
      </c>
      <c r="E67" s="26">
        <v>-33</v>
      </c>
      <c r="F67" s="24">
        <v>0</v>
      </c>
      <c r="G67" s="26">
        <v>0</v>
      </c>
      <c r="H67" s="24">
        <v>0</v>
      </c>
      <c r="I67" s="94">
        <v>0</v>
      </c>
      <c r="J67" s="116">
        <v>0</v>
      </c>
      <c r="K67" s="59">
        <f t="shared" si="16"/>
        <v>11253</v>
      </c>
      <c r="L67" s="16"/>
      <c r="M67" s="16"/>
    </row>
    <row r="68" spans="1:13" ht="12.75">
      <c r="A68" s="50"/>
      <c r="B68" s="3" t="s">
        <v>219</v>
      </c>
      <c r="C68" s="24">
        <v>7659</v>
      </c>
      <c r="D68" s="25">
        <v>7659</v>
      </c>
      <c r="E68" s="26">
        <v>-23</v>
      </c>
      <c r="F68" s="24">
        <v>0</v>
      </c>
      <c r="G68" s="26">
        <v>0</v>
      </c>
      <c r="H68" s="24">
        <v>0</v>
      </c>
      <c r="I68" s="94">
        <v>0</v>
      </c>
      <c r="J68" s="116">
        <v>0</v>
      </c>
      <c r="K68" s="59">
        <f t="shared" si="16"/>
        <v>7636</v>
      </c>
      <c r="L68" s="16"/>
      <c r="M68" s="16"/>
    </row>
    <row r="69" spans="1:13" ht="12.75">
      <c r="A69" s="50"/>
      <c r="B69" s="3" t="s">
        <v>24</v>
      </c>
      <c r="C69" s="24">
        <v>162971</v>
      </c>
      <c r="D69" s="25">
        <v>162971</v>
      </c>
      <c r="E69" s="26">
        <v>-481</v>
      </c>
      <c r="F69" s="24">
        <v>0</v>
      </c>
      <c r="G69" s="26">
        <v>0</v>
      </c>
      <c r="H69" s="24">
        <v>0</v>
      </c>
      <c r="I69" s="94">
        <v>0</v>
      </c>
      <c r="J69" s="116">
        <v>-7460</v>
      </c>
      <c r="K69" s="59">
        <f t="shared" si="16"/>
        <v>155030</v>
      </c>
      <c r="L69" s="16"/>
      <c r="M69" s="16"/>
    </row>
    <row r="70" spans="1:13" ht="12.75">
      <c r="A70" s="50"/>
      <c r="B70" s="3" t="s">
        <v>25</v>
      </c>
      <c r="C70" s="24">
        <v>47018</v>
      </c>
      <c r="D70" s="25">
        <v>33277</v>
      </c>
      <c r="E70" s="26">
        <v>-98</v>
      </c>
      <c r="F70" s="24">
        <v>0</v>
      </c>
      <c r="G70" s="26">
        <v>17000</v>
      </c>
      <c r="H70" s="24">
        <v>0</v>
      </c>
      <c r="I70" s="94">
        <v>141300</v>
      </c>
      <c r="J70" s="116">
        <f>-2392+31</f>
        <v>-2361</v>
      </c>
      <c r="K70" s="59">
        <f t="shared" si="16"/>
        <v>189118</v>
      </c>
      <c r="L70" s="16"/>
      <c r="M70" s="16"/>
    </row>
    <row r="71" spans="1:13" ht="12.75">
      <c r="A71" s="50"/>
      <c r="B71" s="3" t="s">
        <v>26</v>
      </c>
      <c r="C71" s="24">
        <v>1347</v>
      </c>
      <c r="D71" s="25">
        <v>1347</v>
      </c>
      <c r="E71" s="26">
        <v>-4</v>
      </c>
      <c r="F71" s="24">
        <v>0</v>
      </c>
      <c r="G71" s="26">
        <v>0</v>
      </c>
      <c r="H71" s="24">
        <v>0</v>
      </c>
      <c r="I71" s="94">
        <v>-818</v>
      </c>
      <c r="J71" s="116">
        <f>-237-31+303</f>
        <v>35</v>
      </c>
      <c r="K71" s="59">
        <f t="shared" si="16"/>
        <v>560</v>
      </c>
      <c r="L71" s="16"/>
      <c r="M71" s="16"/>
    </row>
    <row r="72" spans="1:13" ht="12.75">
      <c r="A72" s="50"/>
      <c r="B72" s="3" t="s">
        <v>27</v>
      </c>
      <c r="C72" s="24">
        <v>5760</v>
      </c>
      <c r="D72" s="25">
        <v>5760</v>
      </c>
      <c r="E72" s="26">
        <v>-17</v>
      </c>
      <c r="F72" s="24">
        <v>0</v>
      </c>
      <c r="G72" s="26">
        <v>-5200</v>
      </c>
      <c r="H72" s="24">
        <v>0</v>
      </c>
      <c r="I72" s="94">
        <v>0</v>
      </c>
      <c r="J72" s="116">
        <f>0-108-303</f>
        <v>-411</v>
      </c>
      <c r="K72" s="59">
        <f t="shared" si="16"/>
        <v>132</v>
      </c>
      <c r="L72" s="365"/>
      <c r="M72" s="16"/>
    </row>
    <row r="73" spans="1:13" ht="12.75">
      <c r="A73" s="50"/>
      <c r="B73" s="3" t="s">
        <v>28</v>
      </c>
      <c r="C73" s="24">
        <v>7061</v>
      </c>
      <c r="D73" s="25">
        <v>7061</v>
      </c>
      <c r="E73" s="26">
        <v>-21</v>
      </c>
      <c r="F73" s="24">
        <v>0</v>
      </c>
      <c r="G73" s="26">
        <v>0</v>
      </c>
      <c r="H73" s="24">
        <v>0</v>
      </c>
      <c r="I73" s="94">
        <v>303</v>
      </c>
      <c r="J73" s="116">
        <f>0+108</f>
        <v>108</v>
      </c>
      <c r="K73" s="59">
        <f t="shared" si="16"/>
        <v>7451</v>
      </c>
      <c r="L73" s="16"/>
      <c r="M73" s="16"/>
    </row>
    <row r="74" spans="1:13" ht="12.75">
      <c r="A74" s="50"/>
      <c r="B74" s="3" t="s">
        <v>135</v>
      </c>
      <c r="C74" s="24">
        <v>67083</v>
      </c>
      <c r="D74" s="25">
        <v>67083</v>
      </c>
      <c r="E74" s="26">
        <v>-198</v>
      </c>
      <c r="F74" s="24">
        <v>0</v>
      </c>
      <c r="G74" s="26">
        <f>43640+1000</f>
        <v>44640</v>
      </c>
      <c r="H74" s="24">
        <v>0</v>
      </c>
      <c r="I74" s="94">
        <v>0</v>
      </c>
      <c r="J74" s="116">
        <v>-5924</v>
      </c>
      <c r="K74" s="59">
        <f t="shared" si="16"/>
        <v>105601</v>
      </c>
      <c r="L74" s="16"/>
      <c r="M74" s="16"/>
    </row>
    <row r="75" spans="1:13" ht="12.75">
      <c r="A75" s="50"/>
      <c r="B75" s="3" t="s">
        <v>136</v>
      </c>
      <c r="C75" s="24">
        <v>5540</v>
      </c>
      <c r="D75" s="25">
        <v>12540</v>
      </c>
      <c r="E75" s="26">
        <v>-37</v>
      </c>
      <c r="F75" s="24">
        <v>0</v>
      </c>
      <c r="G75" s="26">
        <v>0</v>
      </c>
      <c r="H75" s="24">
        <v>0</v>
      </c>
      <c r="I75" s="94">
        <v>0</v>
      </c>
      <c r="J75" s="116">
        <v>7051</v>
      </c>
      <c r="K75" s="59">
        <f t="shared" si="16"/>
        <v>19554</v>
      </c>
      <c r="L75" s="16"/>
      <c r="M75" s="16"/>
    </row>
    <row r="76" spans="1:13" ht="12.75">
      <c r="A76" s="50"/>
      <c r="B76" s="3" t="s">
        <v>137</v>
      </c>
      <c r="C76" s="24">
        <v>67220</v>
      </c>
      <c r="D76" s="25">
        <v>73220</v>
      </c>
      <c r="E76" s="26">
        <v>-216</v>
      </c>
      <c r="F76" s="24">
        <v>0</v>
      </c>
      <c r="G76" s="26">
        <v>3100</v>
      </c>
      <c r="H76" s="24">
        <v>0</v>
      </c>
      <c r="I76" s="94">
        <v>0</v>
      </c>
      <c r="J76" s="116">
        <v>7058</v>
      </c>
      <c r="K76" s="59">
        <f t="shared" si="16"/>
        <v>83162</v>
      </c>
      <c r="L76" s="16"/>
      <c r="M76" s="16"/>
    </row>
    <row r="77" spans="1:13" ht="12.75">
      <c r="A77" s="50"/>
      <c r="B77" s="3" t="s">
        <v>29</v>
      </c>
      <c r="C77" s="24">
        <v>54122</v>
      </c>
      <c r="D77" s="25">
        <v>56122</v>
      </c>
      <c r="E77" s="26">
        <v>-165</v>
      </c>
      <c r="F77" s="24">
        <v>0</v>
      </c>
      <c r="G77" s="26">
        <v>8100</v>
      </c>
      <c r="H77" s="24">
        <v>0</v>
      </c>
      <c r="I77" s="94">
        <v>360</v>
      </c>
      <c r="J77" s="116">
        <v>2391</v>
      </c>
      <c r="K77" s="59">
        <f t="shared" si="16"/>
        <v>66808</v>
      </c>
      <c r="L77" s="16"/>
      <c r="M77" s="16"/>
    </row>
    <row r="78" spans="1:13" ht="12.75">
      <c r="A78" s="50"/>
      <c r="B78" s="3" t="s">
        <v>31</v>
      </c>
      <c r="C78" s="24">
        <v>15689</v>
      </c>
      <c r="D78" s="25">
        <v>23489</v>
      </c>
      <c r="E78" s="26">
        <v>-69</v>
      </c>
      <c r="F78" s="24">
        <v>0</v>
      </c>
      <c r="G78" s="26">
        <v>16250</v>
      </c>
      <c r="H78" s="24">
        <v>0</v>
      </c>
      <c r="I78" s="94">
        <v>0</v>
      </c>
      <c r="J78" s="116">
        <f>-103-16250+16250-16250</f>
        <v>-16353</v>
      </c>
      <c r="K78" s="59">
        <f t="shared" si="16"/>
        <v>23317</v>
      </c>
      <c r="L78" s="16"/>
      <c r="M78" s="16"/>
    </row>
    <row r="79" spans="1:13" ht="12.75">
      <c r="A79" s="50"/>
      <c r="B79" s="3" t="s">
        <v>32</v>
      </c>
      <c r="C79" s="24">
        <v>1265</v>
      </c>
      <c r="D79" s="25">
        <v>1265</v>
      </c>
      <c r="E79" s="26">
        <v>-4</v>
      </c>
      <c r="F79" s="24">
        <v>0</v>
      </c>
      <c r="G79" s="26">
        <v>0</v>
      </c>
      <c r="H79" s="24">
        <v>0</v>
      </c>
      <c r="I79" s="94">
        <v>0</v>
      </c>
      <c r="J79" s="116">
        <v>0</v>
      </c>
      <c r="K79" s="59">
        <f t="shared" si="16"/>
        <v>1261</v>
      </c>
      <c r="L79" s="16"/>
      <c r="M79" s="16"/>
    </row>
    <row r="80" spans="1:13" ht="12.75">
      <c r="A80" s="50"/>
      <c r="B80" s="3" t="s">
        <v>138</v>
      </c>
      <c r="C80" s="24">
        <v>12484</v>
      </c>
      <c r="D80" s="25">
        <v>12484</v>
      </c>
      <c r="E80" s="26">
        <v>-37</v>
      </c>
      <c r="F80" s="24">
        <v>0</v>
      </c>
      <c r="G80" s="26">
        <v>0</v>
      </c>
      <c r="H80" s="24">
        <v>0</v>
      </c>
      <c r="I80" s="94">
        <v>0</v>
      </c>
      <c r="J80" s="116">
        <v>0</v>
      </c>
      <c r="K80" s="59">
        <f t="shared" si="16"/>
        <v>12447</v>
      </c>
      <c r="L80" s="16"/>
      <c r="M80" s="16"/>
    </row>
    <row r="81" spans="1:13" ht="12.75">
      <c r="A81" s="50"/>
      <c r="B81" s="3" t="s">
        <v>33</v>
      </c>
      <c r="C81" s="24">
        <v>18795</v>
      </c>
      <c r="D81" s="25">
        <v>21675</v>
      </c>
      <c r="E81" s="26">
        <v>-64</v>
      </c>
      <c r="F81" s="24">
        <v>0</v>
      </c>
      <c r="G81" s="26">
        <v>0</v>
      </c>
      <c r="H81" s="24">
        <v>0</v>
      </c>
      <c r="I81" s="94">
        <v>0</v>
      </c>
      <c r="J81" s="116">
        <f>-495-8</f>
        <v>-503</v>
      </c>
      <c r="K81" s="59">
        <f t="shared" si="16"/>
        <v>21108</v>
      </c>
      <c r="L81" s="16"/>
      <c r="M81" s="16"/>
    </row>
    <row r="82" spans="1:13" ht="12.75">
      <c r="A82" s="50"/>
      <c r="B82" s="3" t="s">
        <v>34</v>
      </c>
      <c r="C82" s="24">
        <v>3272</v>
      </c>
      <c r="D82" s="25">
        <v>3272</v>
      </c>
      <c r="E82" s="26">
        <v>-10</v>
      </c>
      <c r="F82" s="24">
        <v>0</v>
      </c>
      <c r="G82" s="26">
        <v>0</v>
      </c>
      <c r="H82" s="24">
        <v>0</v>
      </c>
      <c r="I82" s="94">
        <v>0</v>
      </c>
      <c r="J82" s="116">
        <v>-651</v>
      </c>
      <c r="K82" s="59">
        <f t="shared" si="16"/>
        <v>2611</v>
      </c>
      <c r="L82" s="16"/>
      <c r="M82" s="16"/>
    </row>
    <row r="83" spans="1:13" ht="12.75">
      <c r="A83" s="50"/>
      <c r="B83" s="3" t="s">
        <v>35</v>
      </c>
      <c r="C83" s="24">
        <v>3702</v>
      </c>
      <c r="D83" s="25">
        <v>3702</v>
      </c>
      <c r="E83" s="26">
        <v>-11</v>
      </c>
      <c r="F83" s="24">
        <v>0</v>
      </c>
      <c r="G83" s="26">
        <v>-6400</v>
      </c>
      <c r="H83" s="24">
        <v>0</v>
      </c>
      <c r="I83" s="94">
        <f>17000+142000</f>
        <v>159000</v>
      </c>
      <c r="J83" s="116">
        <f>900+6400-6400+6400</f>
        <v>7300</v>
      </c>
      <c r="K83" s="59">
        <f t="shared" si="16"/>
        <v>163591</v>
      </c>
      <c r="L83" s="16"/>
      <c r="M83" s="16"/>
    </row>
    <row r="84" spans="1:13" ht="12.75">
      <c r="A84" s="50"/>
      <c r="B84" s="3" t="s">
        <v>139</v>
      </c>
      <c r="C84" s="24">
        <v>34151</v>
      </c>
      <c r="D84" s="25">
        <v>36151</v>
      </c>
      <c r="E84" s="26">
        <v>-107</v>
      </c>
      <c r="F84" s="24">
        <v>0</v>
      </c>
      <c r="G84" s="26">
        <v>0</v>
      </c>
      <c r="H84" s="24">
        <v>0</v>
      </c>
      <c r="I84" s="94">
        <v>155</v>
      </c>
      <c r="J84" s="116">
        <v>0</v>
      </c>
      <c r="K84" s="59">
        <f t="shared" si="16"/>
        <v>36199</v>
      </c>
      <c r="L84" s="16"/>
      <c r="M84" s="16"/>
    </row>
    <row r="85" spans="1:13" ht="12.75">
      <c r="A85" s="50"/>
      <c r="B85" s="3" t="s">
        <v>140</v>
      </c>
      <c r="C85" s="24">
        <v>21593</v>
      </c>
      <c r="D85" s="25">
        <v>20000</v>
      </c>
      <c r="E85" s="26">
        <v>-59</v>
      </c>
      <c r="F85" s="24">
        <v>0</v>
      </c>
      <c r="G85" s="26">
        <v>0</v>
      </c>
      <c r="H85" s="24">
        <v>0</v>
      </c>
      <c r="I85" s="94">
        <v>0</v>
      </c>
      <c r="J85" s="116">
        <v>1059</v>
      </c>
      <c r="K85" s="59">
        <f t="shared" si="16"/>
        <v>21000</v>
      </c>
      <c r="L85" s="16"/>
      <c r="M85" s="16"/>
    </row>
    <row r="86" spans="1:13" ht="12.75">
      <c r="A86" s="50"/>
      <c r="B86" s="3" t="s">
        <v>36</v>
      </c>
      <c r="C86" s="24">
        <v>11722</v>
      </c>
      <c r="D86" s="25">
        <v>11722</v>
      </c>
      <c r="E86" s="26">
        <v>-35</v>
      </c>
      <c r="F86" s="24">
        <v>0</v>
      </c>
      <c r="G86" s="26">
        <v>0</v>
      </c>
      <c r="H86" s="24">
        <v>0</v>
      </c>
      <c r="I86" s="94">
        <v>0</v>
      </c>
      <c r="J86" s="116">
        <v>-2337</v>
      </c>
      <c r="K86" s="59">
        <f t="shared" si="16"/>
        <v>9350</v>
      </c>
      <c r="L86" s="16"/>
      <c r="M86" s="16"/>
    </row>
    <row r="87" spans="1:13" ht="12.75">
      <c r="A87" s="50"/>
      <c r="B87" s="3" t="s">
        <v>37</v>
      </c>
      <c r="C87" s="24">
        <v>27194</v>
      </c>
      <c r="D87" s="25">
        <v>55561</v>
      </c>
      <c r="E87" s="26">
        <v>-164</v>
      </c>
      <c r="F87" s="24">
        <v>0</v>
      </c>
      <c r="G87" s="26">
        <v>0</v>
      </c>
      <c r="H87" s="24">
        <v>0</v>
      </c>
      <c r="I87" s="94">
        <v>0</v>
      </c>
      <c r="J87" s="116">
        <f>0-6400+6400-6400</f>
        <v>-6400</v>
      </c>
      <c r="K87" s="59">
        <f t="shared" si="16"/>
        <v>48997</v>
      </c>
      <c r="L87" s="16"/>
      <c r="M87" s="16"/>
    </row>
    <row r="88" spans="1:13" ht="12.75">
      <c r="A88" s="50"/>
      <c r="B88" s="3" t="s">
        <v>220</v>
      </c>
      <c r="C88" s="24">
        <v>55248</v>
      </c>
      <c r="D88" s="25">
        <v>55248</v>
      </c>
      <c r="E88" s="26">
        <v>-163</v>
      </c>
      <c r="F88" s="24">
        <v>0</v>
      </c>
      <c r="G88" s="26">
        <v>0</v>
      </c>
      <c r="H88" s="24">
        <v>0</v>
      </c>
      <c r="I88" s="94">
        <v>0</v>
      </c>
      <c r="J88" s="370">
        <v>551</v>
      </c>
      <c r="K88" s="59">
        <f t="shared" si="16"/>
        <v>55636</v>
      </c>
      <c r="L88" s="16"/>
      <c r="M88" s="16"/>
    </row>
    <row r="89" spans="1:13" ht="12.75">
      <c r="A89" s="50"/>
      <c r="B89" s="117" t="s">
        <v>221</v>
      </c>
      <c r="C89" s="24">
        <v>15862</v>
      </c>
      <c r="D89" s="25">
        <v>15862</v>
      </c>
      <c r="E89" s="26">
        <v>-47</v>
      </c>
      <c r="F89" s="24">
        <v>0</v>
      </c>
      <c r="G89" s="26">
        <v>0</v>
      </c>
      <c r="H89" s="24">
        <v>0</v>
      </c>
      <c r="I89" s="94">
        <v>0</v>
      </c>
      <c r="J89" s="116">
        <v>-830</v>
      </c>
      <c r="K89" s="59">
        <f>SUM(D89:J89)</f>
        <v>14985</v>
      </c>
      <c r="L89" s="16"/>
      <c r="M89" s="16"/>
    </row>
    <row r="90" spans="1:13" ht="12.75">
      <c r="A90" s="50"/>
      <c r="B90" s="3" t="s">
        <v>223</v>
      </c>
      <c r="C90" s="24">
        <v>25892</v>
      </c>
      <c r="D90" s="25">
        <v>25892</v>
      </c>
      <c r="E90" s="26">
        <v>-76</v>
      </c>
      <c r="F90" s="24">
        <v>0</v>
      </c>
      <c r="G90" s="26">
        <v>33750</v>
      </c>
      <c r="H90" s="24">
        <v>0</v>
      </c>
      <c r="I90" s="94">
        <v>0</v>
      </c>
      <c r="J90" s="116">
        <f>0+5000</f>
        <v>5000</v>
      </c>
      <c r="K90" s="59">
        <f>SUM(D90:J90)</f>
        <v>64566</v>
      </c>
      <c r="L90" s="16"/>
      <c r="M90" s="16"/>
    </row>
    <row r="91" spans="1:13" ht="12.75">
      <c r="A91" s="50"/>
      <c r="B91" s="117" t="s">
        <v>222</v>
      </c>
      <c r="C91" s="24">
        <v>15455</v>
      </c>
      <c r="D91" s="25">
        <v>19455</v>
      </c>
      <c r="E91" s="26">
        <v>-57</v>
      </c>
      <c r="F91" s="24">
        <v>0</v>
      </c>
      <c r="G91" s="26">
        <v>0</v>
      </c>
      <c r="H91" s="24">
        <v>0</v>
      </c>
      <c r="I91" s="94">
        <v>0</v>
      </c>
      <c r="J91" s="116">
        <f>-3917+16250-16250+16250</f>
        <v>12333</v>
      </c>
      <c r="K91" s="59">
        <f>SUM(D91:J91)</f>
        <v>31731</v>
      </c>
      <c r="L91" s="16"/>
      <c r="M91" s="16"/>
    </row>
    <row r="92" spans="1:13" ht="12.75">
      <c r="A92" s="50"/>
      <c r="B92" s="117" t="s">
        <v>224</v>
      </c>
      <c r="C92" s="24">
        <v>30201</v>
      </c>
      <c r="D92" s="25">
        <v>25351</v>
      </c>
      <c r="E92" s="26">
        <v>-75</v>
      </c>
      <c r="F92" s="24">
        <v>0</v>
      </c>
      <c r="G92" s="26">
        <v>0</v>
      </c>
      <c r="H92" s="24">
        <v>0</v>
      </c>
      <c r="I92" s="94">
        <v>0</v>
      </c>
      <c r="J92" s="116">
        <f>104-67</f>
        <v>37</v>
      </c>
      <c r="K92" s="59">
        <f>SUM(D92:J92)</f>
        <v>25313</v>
      </c>
      <c r="L92" s="16"/>
      <c r="M92" s="16"/>
    </row>
    <row r="93" spans="1:13" ht="12.75">
      <c r="A93" s="50"/>
      <c r="B93" s="117" t="s">
        <v>225</v>
      </c>
      <c r="C93" s="24">
        <v>33966</v>
      </c>
      <c r="D93" s="25">
        <v>23566</v>
      </c>
      <c r="E93" s="26">
        <v>-69</v>
      </c>
      <c r="F93" s="24">
        <v>0</v>
      </c>
      <c r="G93" s="26">
        <v>0</v>
      </c>
      <c r="H93" s="24">
        <v>0</v>
      </c>
      <c r="I93" s="94">
        <v>11162</v>
      </c>
      <c r="J93" s="116">
        <v>-3686</v>
      </c>
      <c r="K93" s="59">
        <f>SUM(D93:J93)</f>
        <v>30973</v>
      </c>
      <c r="L93" s="16"/>
      <c r="M93" s="16"/>
    </row>
    <row r="94" spans="1:13" ht="12.75">
      <c r="A94" s="50"/>
      <c r="B94" s="117" t="s">
        <v>38</v>
      </c>
      <c r="C94" s="24">
        <v>13450</v>
      </c>
      <c r="D94" s="25">
        <v>13450</v>
      </c>
      <c r="E94" s="26">
        <v>-40</v>
      </c>
      <c r="F94" s="24">
        <v>0</v>
      </c>
      <c r="G94" s="26">
        <v>0</v>
      </c>
      <c r="H94" s="24">
        <v>0</v>
      </c>
      <c r="I94" s="94">
        <v>0</v>
      </c>
      <c r="J94" s="116">
        <v>0</v>
      </c>
      <c r="K94" s="59">
        <f t="shared" si="16"/>
        <v>13410</v>
      </c>
      <c r="L94" s="16"/>
      <c r="M94" s="16"/>
    </row>
    <row r="95" spans="1:13" ht="12.75">
      <c r="A95" s="50"/>
      <c r="B95" s="117" t="s">
        <v>39</v>
      </c>
      <c r="C95" s="24">
        <v>15331</v>
      </c>
      <c r="D95" s="25">
        <v>15331</v>
      </c>
      <c r="E95" s="26">
        <v>-45</v>
      </c>
      <c r="F95" s="24">
        <v>0</v>
      </c>
      <c r="G95" s="26">
        <v>0</v>
      </c>
      <c r="H95" s="24">
        <v>0</v>
      </c>
      <c r="I95" s="94">
        <v>0</v>
      </c>
      <c r="J95" s="116">
        <f>-3014+8</f>
        <v>-3006</v>
      </c>
      <c r="K95" s="59">
        <f t="shared" si="16"/>
        <v>12280</v>
      </c>
      <c r="L95" s="16"/>
      <c r="M95" s="16"/>
    </row>
    <row r="96" spans="1:13" ht="12.75">
      <c r="A96" s="50"/>
      <c r="B96" s="117" t="s">
        <v>198</v>
      </c>
      <c r="C96" s="24">
        <v>315443</v>
      </c>
      <c r="D96" s="25">
        <v>319443</v>
      </c>
      <c r="E96" s="26">
        <v>-941</v>
      </c>
      <c r="F96" s="24">
        <v>0</v>
      </c>
      <c r="G96" s="26">
        <v>1797</v>
      </c>
      <c r="H96" s="24">
        <v>0</v>
      </c>
      <c r="I96" s="94">
        <v>1549</v>
      </c>
      <c r="J96" s="116">
        <f>-7042-4999+830+151</f>
        <v>-11060</v>
      </c>
      <c r="K96" s="59">
        <f t="shared" si="16"/>
        <v>310788</v>
      </c>
      <c r="L96" s="16"/>
      <c r="M96" s="16"/>
    </row>
    <row r="97" spans="1:13" ht="12.75">
      <c r="A97" s="50"/>
      <c r="B97" s="117" t="s">
        <v>40</v>
      </c>
      <c r="C97" s="24">
        <v>64778</v>
      </c>
      <c r="D97" s="25">
        <v>55778</v>
      </c>
      <c r="E97" s="26">
        <v>-164</v>
      </c>
      <c r="F97" s="24">
        <v>0</v>
      </c>
      <c r="G97" s="26">
        <v>0</v>
      </c>
      <c r="H97" s="24">
        <v>0</v>
      </c>
      <c r="I97" s="94">
        <v>-18662</v>
      </c>
      <c r="J97" s="116">
        <f>-5928-196</f>
        <v>-6124</v>
      </c>
      <c r="K97" s="59">
        <f t="shared" si="16"/>
        <v>30828</v>
      </c>
      <c r="L97" s="16"/>
      <c r="M97" s="16"/>
    </row>
    <row r="98" spans="1:13" ht="13.5" thickBot="1">
      <c r="A98" s="50"/>
      <c r="B98" s="31" t="s">
        <v>185</v>
      </c>
      <c r="C98" s="24">
        <v>0</v>
      </c>
      <c r="D98" s="25">
        <v>0</v>
      </c>
      <c r="E98" s="26">
        <v>0</v>
      </c>
      <c r="F98" s="24">
        <v>0</v>
      </c>
      <c r="G98" s="26">
        <v>0</v>
      </c>
      <c r="H98" s="24">
        <v>0</v>
      </c>
      <c r="I98" s="94">
        <f>2407+124+548</f>
        <v>3079</v>
      </c>
      <c r="J98" s="116">
        <v>0</v>
      </c>
      <c r="K98" s="59">
        <f t="shared" si="16"/>
        <v>3079</v>
      </c>
      <c r="L98" s="16"/>
      <c r="M98" s="16"/>
    </row>
    <row r="99" spans="1:13" s="11" customFormat="1" ht="13.5" thickBot="1">
      <c r="A99" s="247"/>
      <c r="B99" s="37" t="s">
        <v>233</v>
      </c>
      <c r="C99" s="38">
        <f aca="true" t="shared" si="17" ref="C99:K99">SUM(C63:C98)</f>
        <v>1450512</v>
      </c>
      <c r="D99" s="38">
        <f t="shared" si="17"/>
        <v>1487375</v>
      </c>
      <c r="E99" s="38">
        <f t="shared" si="17"/>
        <v>-4387</v>
      </c>
      <c r="F99" s="38">
        <f t="shared" si="17"/>
        <v>0</v>
      </c>
      <c r="G99" s="38">
        <f t="shared" si="17"/>
        <v>113037</v>
      </c>
      <c r="H99" s="38">
        <f t="shared" si="17"/>
        <v>0</v>
      </c>
      <c r="I99" s="38">
        <f t="shared" si="17"/>
        <v>297794</v>
      </c>
      <c r="J99" s="38">
        <f>SUM(J63:J98)-1</f>
        <v>0</v>
      </c>
      <c r="K99" s="38">
        <f t="shared" si="17"/>
        <v>1893820</v>
      </c>
      <c r="L99" s="10"/>
      <c r="M99" s="10"/>
    </row>
    <row r="100" spans="1:11" ht="12.75">
      <c r="A100" s="49"/>
      <c r="B100" s="40"/>
      <c r="C100" s="24"/>
      <c r="D100" s="25"/>
      <c r="E100" s="26"/>
      <c r="F100" s="24"/>
      <c r="G100" s="26"/>
      <c r="H100" s="24"/>
      <c r="I100" s="94"/>
      <c r="J100" s="116"/>
      <c r="K100" s="25"/>
    </row>
    <row r="101" spans="1:11" ht="12.75">
      <c r="A101" s="49" t="s">
        <v>173</v>
      </c>
      <c r="B101" s="3" t="s">
        <v>42</v>
      </c>
      <c r="C101" s="24">
        <v>88565</v>
      </c>
      <c r="D101" s="25">
        <v>88565</v>
      </c>
      <c r="E101" s="26">
        <v>-261</v>
      </c>
      <c r="F101" s="24">
        <v>0</v>
      </c>
      <c r="G101" s="24">
        <v>0</v>
      </c>
      <c r="H101" s="24">
        <v>0</v>
      </c>
      <c r="I101" s="24">
        <v>0</v>
      </c>
      <c r="J101" s="116">
        <v>99</v>
      </c>
      <c r="K101" s="25">
        <f aca="true" t="shared" si="18" ref="K101:K106">SUM(D101:J101)</f>
        <v>88403</v>
      </c>
    </row>
    <row r="102" spans="1:11" ht="12.75">
      <c r="A102" s="49"/>
      <c r="B102" s="3" t="s">
        <v>43</v>
      </c>
      <c r="C102" s="24">
        <v>80211</v>
      </c>
      <c r="D102" s="25">
        <v>80211</v>
      </c>
      <c r="E102" s="26">
        <v>-237</v>
      </c>
      <c r="F102" s="24">
        <v>0</v>
      </c>
      <c r="G102" s="24">
        <v>0</v>
      </c>
      <c r="H102" s="24">
        <v>0</v>
      </c>
      <c r="I102" s="24">
        <v>0</v>
      </c>
      <c r="J102" s="116">
        <v>-99</v>
      </c>
      <c r="K102" s="25">
        <f t="shared" si="18"/>
        <v>79875</v>
      </c>
    </row>
    <row r="103" spans="1:11" ht="12.75">
      <c r="A103" s="49"/>
      <c r="B103" s="3" t="s">
        <v>44</v>
      </c>
      <c r="C103" s="24">
        <v>22299</v>
      </c>
      <c r="D103" s="25">
        <v>25579</v>
      </c>
      <c r="E103" s="26">
        <v>-75</v>
      </c>
      <c r="F103" s="24">
        <v>0</v>
      </c>
      <c r="G103" s="24">
        <v>0</v>
      </c>
      <c r="H103" s="24">
        <v>0</v>
      </c>
      <c r="I103" s="24">
        <v>0</v>
      </c>
      <c r="J103" s="116">
        <v>-5100</v>
      </c>
      <c r="K103" s="25">
        <f t="shared" si="18"/>
        <v>20404</v>
      </c>
    </row>
    <row r="104" spans="1:11" ht="12.75">
      <c r="A104" s="49"/>
      <c r="B104" s="3" t="s">
        <v>45</v>
      </c>
      <c r="C104" s="24">
        <v>38702</v>
      </c>
      <c r="D104" s="25">
        <v>38702</v>
      </c>
      <c r="E104" s="26">
        <v>-114</v>
      </c>
      <c r="F104" s="24">
        <v>0</v>
      </c>
      <c r="G104" s="24">
        <v>0</v>
      </c>
      <c r="H104" s="24">
        <v>0</v>
      </c>
      <c r="I104" s="24">
        <v>0</v>
      </c>
      <c r="J104" s="116">
        <v>0</v>
      </c>
      <c r="K104" s="25">
        <f t="shared" si="18"/>
        <v>38588</v>
      </c>
    </row>
    <row r="105" spans="1:11" ht="12.75">
      <c r="A105" s="49"/>
      <c r="B105" s="3" t="s">
        <v>199</v>
      </c>
      <c r="C105" s="24">
        <v>37784</v>
      </c>
      <c r="D105" s="25">
        <v>37784</v>
      </c>
      <c r="E105" s="26">
        <v>-111</v>
      </c>
      <c r="F105" s="24">
        <v>0</v>
      </c>
      <c r="G105" s="24">
        <v>0</v>
      </c>
      <c r="H105" s="24">
        <v>0</v>
      </c>
      <c r="I105" s="24">
        <v>0</v>
      </c>
      <c r="J105" s="116">
        <v>0</v>
      </c>
      <c r="K105" s="25">
        <f t="shared" si="18"/>
        <v>37673</v>
      </c>
    </row>
    <row r="106" spans="1:11" ht="13.5" thickBot="1">
      <c r="A106" s="49"/>
      <c r="B106" s="3" t="s">
        <v>46</v>
      </c>
      <c r="C106" s="24">
        <v>199610</v>
      </c>
      <c r="D106" s="25">
        <v>186160</v>
      </c>
      <c r="E106" s="26">
        <v>-549</v>
      </c>
      <c r="F106" s="24">
        <v>0</v>
      </c>
      <c r="G106" s="24">
        <v>0</v>
      </c>
      <c r="H106" s="24">
        <v>0</v>
      </c>
      <c r="I106" s="24">
        <v>0</v>
      </c>
      <c r="J106" s="116">
        <v>5100</v>
      </c>
      <c r="K106" s="25">
        <f t="shared" si="18"/>
        <v>190711</v>
      </c>
    </row>
    <row r="107" spans="1:11" s="11" customFormat="1" ht="13.5" thickBot="1">
      <c r="A107" s="247"/>
      <c r="B107" s="37" t="s">
        <v>234</v>
      </c>
      <c r="C107" s="38">
        <f>SUM(C101:C106)</f>
        <v>467171</v>
      </c>
      <c r="D107" s="38">
        <f aca="true" t="shared" si="19" ref="D107:K107">SUM(D101:D106)</f>
        <v>457001</v>
      </c>
      <c r="E107" s="38">
        <f t="shared" si="19"/>
        <v>-1347</v>
      </c>
      <c r="F107" s="38">
        <f t="shared" si="19"/>
        <v>0</v>
      </c>
      <c r="G107" s="38">
        <f t="shared" si="19"/>
        <v>0</v>
      </c>
      <c r="H107" s="38">
        <f t="shared" si="19"/>
        <v>0</v>
      </c>
      <c r="I107" s="270">
        <f t="shared" si="19"/>
        <v>0</v>
      </c>
      <c r="J107" s="38">
        <f t="shared" si="19"/>
        <v>0</v>
      </c>
      <c r="K107" s="39">
        <f t="shared" si="19"/>
        <v>455654</v>
      </c>
    </row>
    <row r="108" spans="1:11" ht="12.75">
      <c r="A108" s="41"/>
      <c r="B108" s="42"/>
      <c r="C108" s="24"/>
      <c r="D108" s="29"/>
      <c r="E108" s="31"/>
      <c r="F108" s="33"/>
      <c r="G108" s="31"/>
      <c r="H108" s="33"/>
      <c r="I108" s="93"/>
      <c r="J108" s="123"/>
      <c r="K108" s="25"/>
    </row>
    <row r="109" spans="1:11" ht="12.75">
      <c r="A109" s="41" t="s">
        <v>235</v>
      </c>
      <c r="B109" s="3" t="s">
        <v>226</v>
      </c>
      <c r="C109" s="24">
        <v>0</v>
      </c>
      <c r="D109" s="25">
        <v>57100</v>
      </c>
      <c r="E109" s="26">
        <v>-168</v>
      </c>
      <c r="F109" s="24">
        <v>0</v>
      </c>
      <c r="G109" s="26">
        <v>0</v>
      </c>
      <c r="H109" s="24">
        <v>0</v>
      </c>
      <c r="I109" s="26">
        <v>45000</v>
      </c>
      <c r="J109" s="24">
        <v>0</v>
      </c>
      <c r="K109" s="25">
        <f>SUM(D109:J109)</f>
        <v>101932</v>
      </c>
    </row>
    <row r="110" spans="1:11" ht="13.5" thickBot="1">
      <c r="A110" s="41"/>
      <c r="B110" s="3" t="s">
        <v>227</v>
      </c>
      <c r="C110" s="24">
        <v>0</v>
      </c>
      <c r="D110" s="25">
        <v>105000</v>
      </c>
      <c r="E110" s="26">
        <v>-310</v>
      </c>
      <c r="F110" s="24">
        <v>0</v>
      </c>
      <c r="G110" s="26">
        <v>0</v>
      </c>
      <c r="H110" s="269">
        <v>0</v>
      </c>
      <c r="I110" s="26">
        <v>0</v>
      </c>
      <c r="J110" s="269">
        <v>0</v>
      </c>
      <c r="K110" s="25">
        <f>SUM(D110:J110)</f>
        <v>104690</v>
      </c>
    </row>
    <row r="111" spans="1:11" s="11" customFormat="1" ht="13.5" thickBot="1">
      <c r="A111" s="247"/>
      <c r="B111" s="37" t="s">
        <v>279</v>
      </c>
      <c r="C111" s="38">
        <f>SUM(C109:C110)</f>
        <v>0</v>
      </c>
      <c r="D111" s="38">
        <f aca="true" t="shared" si="20" ref="D111:K111">SUM(D109:D110)</f>
        <v>162100</v>
      </c>
      <c r="E111" s="38">
        <f t="shared" si="20"/>
        <v>-478</v>
      </c>
      <c r="F111" s="38">
        <f t="shared" si="20"/>
        <v>0</v>
      </c>
      <c r="G111" s="38">
        <f t="shared" si="20"/>
        <v>0</v>
      </c>
      <c r="H111" s="38">
        <f t="shared" si="20"/>
        <v>0</v>
      </c>
      <c r="I111" s="38">
        <f t="shared" si="20"/>
        <v>45000</v>
      </c>
      <c r="J111" s="38">
        <f t="shared" si="20"/>
        <v>0</v>
      </c>
      <c r="K111" s="38">
        <f t="shared" si="20"/>
        <v>206622</v>
      </c>
    </row>
    <row r="112" spans="1:11" ht="12.75">
      <c r="A112" s="41"/>
      <c r="B112" s="42"/>
      <c r="C112" s="24"/>
      <c r="D112" s="29"/>
      <c r="E112" s="31"/>
      <c r="F112" s="24"/>
      <c r="G112" s="31"/>
      <c r="H112" s="33"/>
      <c r="I112" s="93"/>
      <c r="J112" s="123"/>
      <c r="K112" s="25"/>
    </row>
    <row r="113" spans="1:11" ht="13.5" thickBot="1">
      <c r="A113" s="41"/>
      <c r="B113" s="42"/>
      <c r="C113" s="24"/>
      <c r="D113" s="29"/>
      <c r="E113" s="31"/>
      <c r="F113" s="24"/>
      <c r="G113" s="31"/>
      <c r="H113" s="24"/>
      <c r="I113" s="93"/>
      <c r="J113" s="123"/>
      <c r="K113" s="25"/>
    </row>
    <row r="114" spans="1:11" s="256" customFormat="1" ht="13.5" thickBot="1">
      <c r="A114" s="43" t="s">
        <v>47</v>
      </c>
      <c r="B114" s="44" t="s">
        <v>164</v>
      </c>
      <c r="C114" s="38">
        <v>671379</v>
      </c>
      <c r="D114" s="38">
        <v>648379</v>
      </c>
      <c r="E114" s="218">
        <v>-1912</v>
      </c>
      <c r="F114" s="38">
        <v>0</v>
      </c>
      <c r="G114" s="218">
        <f>1380+4863+19367+5194+38245+55160+166259</f>
        <v>290468</v>
      </c>
      <c r="H114" s="38">
        <v>0</v>
      </c>
      <c r="I114" s="218">
        <f>-2000+300+25000+6400-29911+600+5400+13000+1400</f>
        <v>20189</v>
      </c>
      <c r="J114" s="38">
        <v>0</v>
      </c>
      <c r="K114" s="38">
        <f>SUM(D114:J114)</f>
        <v>957124</v>
      </c>
    </row>
    <row r="115" spans="1:11" s="256" customFormat="1" ht="12.75">
      <c r="A115" s="224"/>
      <c r="B115" s="225"/>
      <c r="C115" s="124"/>
      <c r="D115" s="96"/>
      <c r="E115" s="79"/>
      <c r="F115" s="124"/>
      <c r="G115" s="79"/>
      <c r="H115" s="124"/>
      <c r="I115" s="79"/>
      <c r="J115" s="124"/>
      <c r="K115" s="96"/>
    </row>
    <row r="116" spans="1:11" s="256" customFormat="1" ht="13.5" thickBot="1">
      <c r="A116" s="224"/>
      <c r="B116" s="225"/>
      <c r="C116" s="124"/>
      <c r="D116" s="96"/>
      <c r="E116" s="79"/>
      <c r="F116" s="124"/>
      <c r="G116" s="79"/>
      <c r="H116" s="124"/>
      <c r="I116" s="79"/>
      <c r="J116" s="124"/>
      <c r="K116" s="96"/>
    </row>
    <row r="117" spans="1:11" s="256" customFormat="1" ht="13.5" thickBot="1">
      <c r="A117" s="43" t="s">
        <v>268</v>
      </c>
      <c r="B117" s="44" t="s">
        <v>269</v>
      </c>
      <c r="C117" s="38">
        <v>0</v>
      </c>
      <c r="D117" s="39">
        <v>0</v>
      </c>
      <c r="E117" s="218">
        <v>0</v>
      </c>
      <c r="F117" s="38">
        <v>0</v>
      </c>
      <c r="G117" s="218">
        <v>0</v>
      </c>
      <c r="H117" s="38">
        <v>0</v>
      </c>
      <c r="I117" s="218">
        <v>0</v>
      </c>
      <c r="J117" s="38">
        <v>0</v>
      </c>
      <c r="K117" s="39">
        <v>0</v>
      </c>
    </row>
    <row r="118" spans="1:11" s="256" customFormat="1" ht="12.75">
      <c r="A118" s="224"/>
      <c r="B118" s="225"/>
      <c r="C118" s="124"/>
      <c r="D118" s="96"/>
      <c r="E118" s="79"/>
      <c r="F118" s="124"/>
      <c r="G118" s="79"/>
      <c r="H118" s="124"/>
      <c r="I118" s="79"/>
      <c r="J118" s="124"/>
      <c r="K118" s="96"/>
    </row>
    <row r="119" spans="1:11" s="22" customFormat="1" ht="13.5" thickBot="1">
      <c r="A119" s="224"/>
      <c r="B119" s="225"/>
      <c r="C119" s="116"/>
      <c r="D119" s="59"/>
      <c r="E119" s="94"/>
      <c r="F119" s="116"/>
      <c r="G119" s="94"/>
      <c r="H119" s="116"/>
      <c r="I119" s="94"/>
      <c r="J119" s="116"/>
      <c r="K119" s="96"/>
    </row>
    <row r="120" spans="1:11" s="10" customFormat="1" ht="13.5" thickBot="1">
      <c r="A120" s="43" t="s">
        <v>175</v>
      </c>
      <c r="B120" s="39" t="s">
        <v>59</v>
      </c>
      <c r="C120" s="38">
        <f>SUM(C61+C99+C107+C114+C117)</f>
        <v>3164228</v>
      </c>
      <c r="D120" s="38">
        <f aca="true" t="shared" si="21" ref="D120:I120">SUM(D61+D99+D107+D111+D114)</f>
        <v>3306269</v>
      </c>
      <c r="E120" s="38">
        <f t="shared" si="21"/>
        <v>-9749</v>
      </c>
      <c r="F120" s="38">
        <f t="shared" si="21"/>
        <v>0</v>
      </c>
      <c r="G120" s="38">
        <f t="shared" si="21"/>
        <v>403505</v>
      </c>
      <c r="H120" s="38">
        <f t="shared" si="21"/>
        <v>0</v>
      </c>
      <c r="I120" s="38">
        <f t="shared" si="21"/>
        <v>359522</v>
      </c>
      <c r="J120" s="38">
        <f>SUM(J61+J99+J107+J111+J114)</f>
        <v>0</v>
      </c>
      <c r="K120" s="38">
        <f>SUM(K61+K99+K107+K111+K114+K117)-1</f>
        <v>4059548</v>
      </c>
    </row>
    <row r="121" spans="1:11" s="31" customFormat="1" ht="12.75">
      <c r="A121" s="371"/>
      <c r="I121" s="93"/>
      <c r="J121" s="93"/>
      <c r="K121" s="26"/>
    </row>
    <row r="122" spans="1:11" s="31" customFormat="1" ht="12.75">
      <c r="A122" s="371"/>
      <c r="I122" s="93"/>
      <c r="J122" s="93"/>
      <c r="K122" s="26"/>
    </row>
    <row r="123" spans="1:11" s="31" customFormat="1" ht="12.75">
      <c r="A123" s="371"/>
      <c r="I123" s="93"/>
      <c r="J123" s="93"/>
      <c r="K123" s="26"/>
    </row>
    <row r="124" spans="1:11" s="31" customFormat="1" ht="12.75">
      <c r="A124" s="371"/>
      <c r="I124" s="93"/>
      <c r="J124" s="93"/>
      <c r="K124" s="26"/>
    </row>
  </sheetData>
  <sheetProtection/>
  <printOptions/>
  <pageMargins left="0.7" right="0.7" top="0.75" bottom="0.75" header="0.3" footer="0.3"/>
  <pageSetup fitToHeight="2" fitToWidth="1" horizontalDpi="600" verticalDpi="600" orientation="landscape" scale="53" r:id="rId1"/>
  <headerFooter>
    <oddHeader>&amp;CFY 2009/2011
PROCUREMENT, DEFENSE-WIDE
As of 31 December 2010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4"/>
  <sheetViews>
    <sheetView tabSelected="1" zoomScalePageLayoutView="0" workbookViewId="0" topLeftCell="A1">
      <selection activeCell="C1" sqref="A1:IV16384"/>
    </sheetView>
  </sheetViews>
  <sheetFormatPr defaultColWidth="9.140625" defaultRowHeight="12.75"/>
  <cols>
    <col min="1" max="1" width="51.140625" style="12" customWidth="1"/>
    <col min="2" max="2" width="56.7109375" style="27" customWidth="1"/>
    <col min="3" max="3" width="12.421875" style="27" customWidth="1"/>
    <col min="4" max="4" width="14.57421875" style="27" customWidth="1"/>
    <col min="5" max="5" width="15.8515625" style="27" customWidth="1"/>
    <col min="6" max="6" width="14.7109375" style="27" customWidth="1"/>
    <col min="7" max="7" width="12.7109375" style="27" customWidth="1"/>
    <col min="8" max="8" width="14.7109375" style="27" customWidth="1"/>
    <col min="9" max="9" width="14.140625" style="21" customWidth="1"/>
    <col min="10" max="10" width="14.28125" style="21" customWidth="1"/>
    <col min="11" max="11" width="11.57421875" style="16" customWidth="1"/>
    <col min="12" max="12" width="9.140625" style="27" customWidth="1"/>
    <col min="13" max="13" width="9.7109375" style="27" bestFit="1" customWidth="1"/>
    <col min="14" max="16384" width="9.140625" style="27" customWidth="1"/>
  </cols>
  <sheetData>
    <row r="2" spans="4:10" ht="12.75">
      <c r="D2" s="227"/>
      <c r="H2" s="227"/>
      <c r="J2" s="249"/>
    </row>
    <row r="3" spans="2:10" ht="12.75">
      <c r="B3" s="21"/>
      <c r="D3" s="227"/>
      <c r="E3" s="69"/>
      <c r="H3" s="227"/>
      <c r="J3" s="249"/>
    </row>
    <row r="4" spans="4:10" ht="13.5" thickBot="1">
      <c r="D4" s="227"/>
      <c r="E4" s="112"/>
      <c r="G4" s="227"/>
      <c r="H4" s="227"/>
      <c r="I4" s="249"/>
      <c r="J4" s="249"/>
    </row>
    <row r="5" spans="1:11" ht="51" customHeight="1" thickBot="1">
      <c r="A5" s="48" t="s">
        <v>165</v>
      </c>
      <c r="B5" s="47" t="s">
        <v>166</v>
      </c>
      <c r="C5" s="53" t="s">
        <v>50</v>
      </c>
      <c r="D5" s="55" t="s">
        <v>51</v>
      </c>
      <c r="E5" s="53" t="s">
        <v>52</v>
      </c>
      <c r="F5" s="54" t="s">
        <v>53</v>
      </c>
      <c r="G5" s="54" t="s">
        <v>54</v>
      </c>
      <c r="H5" s="54" t="s">
        <v>55</v>
      </c>
      <c r="I5" s="54" t="s">
        <v>56</v>
      </c>
      <c r="J5" s="54" t="s">
        <v>57</v>
      </c>
      <c r="K5" s="219" t="s">
        <v>58</v>
      </c>
    </row>
    <row r="6" spans="1:11" ht="12.75">
      <c r="A6" s="244"/>
      <c r="B6" s="29"/>
      <c r="C6" s="30"/>
      <c r="D6" s="29"/>
      <c r="E6" s="31"/>
      <c r="F6" s="30"/>
      <c r="G6" s="31"/>
      <c r="H6" s="30"/>
      <c r="I6" s="93"/>
      <c r="J6" s="122"/>
      <c r="K6" s="25"/>
    </row>
    <row r="7" spans="1:11" ht="12.75">
      <c r="A7" s="50"/>
      <c r="B7" s="32"/>
      <c r="C7" s="33"/>
      <c r="D7" s="29"/>
      <c r="E7" s="31"/>
      <c r="F7" s="33"/>
      <c r="G7" s="31"/>
      <c r="H7" s="33"/>
      <c r="I7" s="93"/>
      <c r="J7" s="123"/>
      <c r="K7" s="25"/>
    </row>
    <row r="8" spans="1:11" ht="12.75">
      <c r="A8" s="50" t="s">
        <v>63</v>
      </c>
      <c r="B8" s="7" t="s">
        <v>12</v>
      </c>
      <c r="C8" s="24">
        <v>105946</v>
      </c>
      <c r="D8" s="25">
        <v>105946</v>
      </c>
      <c r="E8" s="26">
        <v>-312</v>
      </c>
      <c r="F8" s="24">
        <v>0</v>
      </c>
      <c r="G8" s="26">
        <v>0</v>
      </c>
      <c r="H8" s="24">
        <v>0</v>
      </c>
      <c r="I8" s="94">
        <f>-2273-27</f>
        <v>-2300</v>
      </c>
      <c r="J8" s="116">
        <v>0</v>
      </c>
      <c r="K8" s="25">
        <f>SUM(D8:J8)</f>
        <v>103334</v>
      </c>
    </row>
    <row r="9" spans="1:11" s="11" customFormat="1" ht="12.75">
      <c r="A9" s="257"/>
      <c r="B9" s="258" t="s">
        <v>113</v>
      </c>
      <c r="C9" s="260">
        <f aca="true" t="shared" si="0" ref="C9:I9">SUM(C8)</f>
        <v>105946</v>
      </c>
      <c r="D9" s="260">
        <f t="shared" si="0"/>
        <v>105946</v>
      </c>
      <c r="E9" s="260">
        <f t="shared" si="0"/>
        <v>-312</v>
      </c>
      <c r="F9" s="260">
        <f t="shared" si="0"/>
        <v>0</v>
      </c>
      <c r="G9" s="260">
        <f t="shared" si="0"/>
        <v>0</v>
      </c>
      <c r="H9" s="260">
        <f t="shared" si="0"/>
        <v>0</v>
      </c>
      <c r="I9" s="260">
        <f t="shared" si="0"/>
        <v>-2300</v>
      </c>
      <c r="J9" s="260">
        <f>SUM(J8:J8)</f>
        <v>0</v>
      </c>
      <c r="K9" s="260">
        <f>SUM(K8:K8)</f>
        <v>103334</v>
      </c>
    </row>
    <row r="10" spans="1:11" ht="12.75">
      <c r="A10" s="50"/>
      <c r="B10" s="23"/>
      <c r="C10" s="24"/>
      <c r="D10" s="25"/>
      <c r="E10" s="26"/>
      <c r="F10" s="24"/>
      <c r="G10" s="26"/>
      <c r="H10" s="24"/>
      <c r="I10" s="94"/>
      <c r="J10" s="116"/>
      <c r="K10" s="25"/>
    </row>
    <row r="11" spans="1:11" ht="12.75">
      <c r="A11" s="50" t="s">
        <v>65</v>
      </c>
      <c r="B11" t="s">
        <v>116</v>
      </c>
      <c r="C11" s="24">
        <f>SUM('FY 09-11 DD 1416 Tracker-Total'!P18)</f>
        <v>0</v>
      </c>
      <c r="D11" s="25">
        <f>SUM('FY 09-11 DD 1416 Tracker-Total'!J18)</f>
        <v>0</v>
      </c>
      <c r="E11" s="26">
        <f>SUM('FY 09-11 DD 1416 Tracker-Total'!M18)</f>
        <v>0</v>
      </c>
      <c r="F11" s="24">
        <v>0</v>
      </c>
      <c r="G11" s="26">
        <v>0</v>
      </c>
      <c r="H11" s="24">
        <v>0</v>
      </c>
      <c r="I11" s="94">
        <v>0</v>
      </c>
      <c r="J11" s="116">
        <v>0</v>
      </c>
      <c r="K11" s="59">
        <f>SUM(D11:J11)</f>
        <v>0</v>
      </c>
    </row>
    <row r="12" spans="1:11" ht="12.75">
      <c r="A12" s="50"/>
      <c r="B12" t="s">
        <v>12</v>
      </c>
      <c r="C12" s="24">
        <v>26649</v>
      </c>
      <c r="D12" s="25">
        <v>26649</v>
      </c>
      <c r="E12" s="26">
        <v>-79</v>
      </c>
      <c r="F12" s="24">
        <v>0</v>
      </c>
      <c r="G12" s="26">
        <v>0</v>
      </c>
      <c r="H12" s="24">
        <v>0</v>
      </c>
      <c r="I12" s="94">
        <v>0</v>
      </c>
      <c r="J12" s="116">
        <v>0</v>
      </c>
      <c r="K12" s="59">
        <f>SUM(D12:J12)</f>
        <v>26570</v>
      </c>
    </row>
    <row r="13" spans="1:11" s="11" customFormat="1" ht="12.75">
      <c r="A13" s="257"/>
      <c r="B13" s="259" t="s">
        <v>49</v>
      </c>
      <c r="C13" s="260">
        <f>SUM(C11:C12)</f>
        <v>26649</v>
      </c>
      <c r="D13" s="260">
        <f aca="true" t="shared" si="1" ref="D13:K13">SUM(D11:D12)</f>
        <v>26649</v>
      </c>
      <c r="E13" s="260">
        <f t="shared" si="1"/>
        <v>-79</v>
      </c>
      <c r="F13" s="260">
        <f t="shared" si="1"/>
        <v>0</v>
      </c>
      <c r="G13" s="260">
        <f t="shared" si="1"/>
        <v>0</v>
      </c>
      <c r="H13" s="260">
        <f t="shared" si="1"/>
        <v>0</v>
      </c>
      <c r="I13" s="260">
        <f t="shared" si="1"/>
        <v>0</v>
      </c>
      <c r="J13" s="260">
        <f t="shared" si="1"/>
        <v>0</v>
      </c>
      <c r="K13" s="260">
        <f t="shared" si="1"/>
        <v>26570</v>
      </c>
    </row>
    <row r="14" spans="1:11" ht="12.75">
      <c r="A14" s="50"/>
      <c r="B14" s="23"/>
      <c r="C14" s="24"/>
      <c r="D14" s="25"/>
      <c r="E14" s="26"/>
      <c r="F14" s="24"/>
      <c r="G14" s="26"/>
      <c r="H14" s="24"/>
      <c r="I14" s="94"/>
      <c r="J14" s="116"/>
      <c r="K14" s="25"/>
    </row>
    <row r="15" spans="1:11" ht="12.75">
      <c r="A15" s="50" t="s">
        <v>167</v>
      </c>
      <c r="B15" s="3" t="s">
        <v>6</v>
      </c>
      <c r="C15" s="24">
        <v>54934</v>
      </c>
      <c r="D15" s="25">
        <v>48734</v>
      </c>
      <c r="E15" s="26">
        <v>-144</v>
      </c>
      <c r="F15" s="24">
        <v>0</v>
      </c>
      <c r="G15" s="24">
        <v>0</v>
      </c>
      <c r="H15" s="24">
        <v>0</v>
      </c>
      <c r="I15" s="24">
        <v>0</v>
      </c>
      <c r="J15" s="24">
        <f>-1304+595-3000+396+1980-3300</f>
        <v>-4633</v>
      </c>
      <c r="K15" s="59">
        <f>SUM(D15:J15)</f>
        <v>43957</v>
      </c>
    </row>
    <row r="16" spans="1:11" ht="12.75">
      <c r="A16" s="50"/>
      <c r="B16" s="3" t="s">
        <v>248</v>
      </c>
      <c r="C16" s="24">
        <v>10973</v>
      </c>
      <c r="D16" s="25">
        <v>10973</v>
      </c>
      <c r="E16" s="26">
        <v>-32</v>
      </c>
      <c r="F16" s="24">
        <v>0</v>
      </c>
      <c r="G16" s="24">
        <v>0</v>
      </c>
      <c r="H16" s="24">
        <v>0</v>
      </c>
      <c r="I16" s="24"/>
      <c r="J16" s="24">
        <f>-1900-251</f>
        <v>-2151</v>
      </c>
      <c r="K16" s="59">
        <f aca="true" t="shared" si="2" ref="K16:K25">SUM(D16:J16)</f>
        <v>8790</v>
      </c>
    </row>
    <row r="17" spans="1:11" ht="12.75">
      <c r="A17" s="50"/>
      <c r="B17" s="3" t="s">
        <v>7</v>
      </c>
      <c r="C17" s="24">
        <v>2788</v>
      </c>
      <c r="D17" s="25">
        <v>2788</v>
      </c>
      <c r="E17" s="26">
        <v>-8</v>
      </c>
      <c r="F17" s="24">
        <v>0</v>
      </c>
      <c r="G17" s="24">
        <v>0</v>
      </c>
      <c r="H17" s="24">
        <v>0</v>
      </c>
      <c r="I17" s="24">
        <v>200</v>
      </c>
      <c r="J17" s="24">
        <v>-111</v>
      </c>
      <c r="K17" s="59">
        <f t="shared" si="2"/>
        <v>2869</v>
      </c>
    </row>
    <row r="18" spans="1:11" ht="12.75">
      <c r="A18" s="50"/>
      <c r="B18" s="3" t="s">
        <v>8</v>
      </c>
      <c r="C18" s="24">
        <v>15062</v>
      </c>
      <c r="D18" s="25">
        <v>15062</v>
      </c>
      <c r="E18" s="26">
        <v>-44</v>
      </c>
      <c r="F18" s="24">
        <v>0</v>
      </c>
      <c r="G18" s="24">
        <v>0</v>
      </c>
      <c r="H18" s="24">
        <v>0</v>
      </c>
      <c r="I18" s="24">
        <v>0</v>
      </c>
      <c r="J18" s="24">
        <f>400+529-363</f>
        <v>566</v>
      </c>
      <c r="K18" s="59">
        <f t="shared" si="2"/>
        <v>15584</v>
      </c>
    </row>
    <row r="19" spans="1:11" ht="12.75">
      <c r="A19" s="50"/>
      <c r="B19" s="3" t="s">
        <v>9</v>
      </c>
      <c r="C19" s="24">
        <v>121296</v>
      </c>
      <c r="D19" s="25">
        <v>111296</v>
      </c>
      <c r="E19" s="26">
        <v>-328</v>
      </c>
      <c r="F19" s="24">
        <v>0</v>
      </c>
      <c r="G19" s="24">
        <v>0</v>
      </c>
      <c r="H19" s="24">
        <v>0</v>
      </c>
      <c r="I19" s="24">
        <v>0</v>
      </c>
      <c r="J19" s="24">
        <f>3243+1200+9560-925-1271-3300+6600</f>
        <v>15107</v>
      </c>
      <c r="K19" s="59">
        <f t="shared" si="2"/>
        <v>126075</v>
      </c>
    </row>
    <row r="20" spans="1:11" ht="12.75">
      <c r="A20" s="50"/>
      <c r="B20" s="3" t="s">
        <v>10</v>
      </c>
      <c r="C20" s="24">
        <v>36765</v>
      </c>
      <c r="D20" s="25">
        <v>36765</v>
      </c>
      <c r="E20" s="26">
        <v>-108</v>
      </c>
      <c r="F20" s="24">
        <v>0</v>
      </c>
      <c r="G20" s="24">
        <v>0</v>
      </c>
      <c r="H20" s="24">
        <v>0</v>
      </c>
      <c r="I20" s="24">
        <v>0</v>
      </c>
      <c r="J20" s="24">
        <f>-5958-1373</f>
        <v>-7331</v>
      </c>
      <c r="K20" s="59">
        <f t="shared" si="2"/>
        <v>29326</v>
      </c>
    </row>
    <row r="21" spans="1:11" ht="12.75">
      <c r="A21" s="50"/>
      <c r="B21" s="3" t="s">
        <v>197</v>
      </c>
      <c r="C21" s="24">
        <v>90328</v>
      </c>
      <c r="D21" s="25">
        <v>90328</v>
      </c>
      <c r="E21" s="26">
        <v>-266</v>
      </c>
      <c r="F21" s="24">
        <v>0</v>
      </c>
      <c r="G21" s="24">
        <v>0</v>
      </c>
      <c r="H21" s="24">
        <v>0</v>
      </c>
      <c r="I21" s="24">
        <v>0</v>
      </c>
      <c r="J21" s="24">
        <f>4319-595-6499+1729</f>
        <v>-1046</v>
      </c>
      <c r="K21" s="59">
        <f t="shared" si="2"/>
        <v>89016</v>
      </c>
    </row>
    <row r="22" spans="1:11" ht="12.75">
      <c r="A22" s="50"/>
      <c r="B22" s="3" t="s">
        <v>203</v>
      </c>
      <c r="C22" s="24">
        <v>1895</v>
      </c>
      <c r="D22" s="25">
        <v>1894</v>
      </c>
      <c r="E22" s="26">
        <v>-6</v>
      </c>
      <c r="F22" s="24">
        <v>0</v>
      </c>
      <c r="G22" s="24">
        <v>0</v>
      </c>
      <c r="H22" s="24">
        <v>0</v>
      </c>
      <c r="I22" s="24">
        <v>0</v>
      </c>
      <c r="J22" s="24">
        <f>0-60</f>
        <v>-60</v>
      </c>
      <c r="K22" s="59">
        <f t="shared" si="2"/>
        <v>1828</v>
      </c>
    </row>
    <row r="23" spans="1:11" ht="12.75">
      <c r="A23" s="50"/>
      <c r="B23" s="117" t="s">
        <v>184</v>
      </c>
      <c r="C23" s="24">
        <v>0</v>
      </c>
      <c r="D23" s="25">
        <v>0</v>
      </c>
      <c r="E23" s="26">
        <v>0</v>
      </c>
      <c r="F23" s="24">
        <v>0</v>
      </c>
      <c r="G23" s="24">
        <v>0</v>
      </c>
      <c r="H23" s="24">
        <v>0</v>
      </c>
      <c r="I23" s="24">
        <v>1316</v>
      </c>
      <c r="J23" s="24">
        <v>0</v>
      </c>
      <c r="K23" s="59">
        <f t="shared" si="2"/>
        <v>1316</v>
      </c>
    </row>
    <row r="24" spans="1:11" ht="12.75">
      <c r="A24" s="50"/>
      <c r="B24" s="117" t="s">
        <v>212</v>
      </c>
      <c r="C24" s="24">
        <v>7952</v>
      </c>
      <c r="D24" s="25">
        <v>4000</v>
      </c>
      <c r="E24" s="26">
        <v>-12</v>
      </c>
      <c r="F24" s="24">
        <v>0</v>
      </c>
      <c r="G24" s="24">
        <v>0</v>
      </c>
      <c r="H24" s="24">
        <v>0</v>
      </c>
      <c r="I24" s="24">
        <v>0</v>
      </c>
      <c r="J24" s="24">
        <f>0-61-280</f>
        <v>-341</v>
      </c>
      <c r="K24" s="59">
        <f t="shared" si="2"/>
        <v>3647</v>
      </c>
    </row>
    <row r="25" spans="1:11" ht="12.75">
      <c r="A25" s="50"/>
      <c r="B25" s="117" t="s">
        <v>213</v>
      </c>
      <c r="C25" s="24">
        <v>19100</v>
      </c>
      <c r="D25" s="25">
        <v>19100</v>
      </c>
      <c r="E25" s="26">
        <v>-56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59">
        <f t="shared" si="2"/>
        <v>19044</v>
      </c>
    </row>
    <row r="26" spans="1:11" s="11" customFormat="1" ht="12.75">
      <c r="A26" s="257"/>
      <c r="B26" s="259" t="s">
        <v>67</v>
      </c>
      <c r="C26" s="260">
        <f>SUM(C15:C25)-1</f>
        <v>361092</v>
      </c>
      <c r="D26" s="260">
        <f aca="true" t="shared" si="3" ref="D26:K26">SUM(D15:D25)</f>
        <v>340940</v>
      </c>
      <c r="E26" s="261">
        <f t="shared" si="3"/>
        <v>-1004</v>
      </c>
      <c r="F26" s="260">
        <f t="shared" si="3"/>
        <v>0</v>
      </c>
      <c r="G26" s="262">
        <f t="shared" si="3"/>
        <v>0</v>
      </c>
      <c r="H26" s="260">
        <f t="shared" si="3"/>
        <v>0</v>
      </c>
      <c r="I26" s="260">
        <f t="shared" si="3"/>
        <v>1516</v>
      </c>
      <c r="J26" s="260">
        <f t="shared" si="3"/>
        <v>0</v>
      </c>
      <c r="K26" s="260">
        <f t="shared" si="3"/>
        <v>341452</v>
      </c>
    </row>
    <row r="27" spans="1:11" ht="12.75">
      <c r="A27" s="50"/>
      <c r="B27" s="23"/>
      <c r="C27" s="24"/>
      <c r="D27" s="25"/>
      <c r="E27" s="26"/>
      <c r="F27" s="24"/>
      <c r="G27" s="26"/>
      <c r="H27" s="24"/>
      <c r="I27" s="94"/>
      <c r="J27" s="116"/>
      <c r="K27" s="25"/>
    </row>
    <row r="28" spans="1:11" ht="12.75">
      <c r="A28" s="50" t="s">
        <v>61</v>
      </c>
      <c r="B28" t="s">
        <v>12</v>
      </c>
      <c r="C28" s="24">
        <v>8789</v>
      </c>
      <c r="D28" s="25">
        <v>8789</v>
      </c>
      <c r="E28" s="26">
        <v>-26</v>
      </c>
      <c r="F28" s="24">
        <v>0</v>
      </c>
      <c r="G28" s="26">
        <v>0</v>
      </c>
      <c r="H28" s="24">
        <v>0</v>
      </c>
      <c r="I28" s="94">
        <v>0</v>
      </c>
      <c r="J28" s="116">
        <v>0</v>
      </c>
      <c r="K28" s="59">
        <f>SUM(D28:J28)</f>
        <v>8763</v>
      </c>
    </row>
    <row r="29" spans="1:11" ht="12.75">
      <c r="A29" s="257"/>
      <c r="B29" s="259" t="s">
        <v>117</v>
      </c>
      <c r="C29" s="260">
        <f>SUM(C28)</f>
        <v>8789</v>
      </c>
      <c r="D29" s="260">
        <f aca="true" t="shared" si="4" ref="D29:K29">SUM(D28)</f>
        <v>8789</v>
      </c>
      <c r="E29" s="260">
        <f t="shared" si="4"/>
        <v>-26</v>
      </c>
      <c r="F29" s="260">
        <f t="shared" si="4"/>
        <v>0</v>
      </c>
      <c r="G29" s="260">
        <f t="shared" si="4"/>
        <v>0</v>
      </c>
      <c r="H29" s="260">
        <f t="shared" si="4"/>
        <v>0</v>
      </c>
      <c r="I29" s="260">
        <f t="shared" si="4"/>
        <v>0</v>
      </c>
      <c r="J29" s="260">
        <f t="shared" si="4"/>
        <v>0</v>
      </c>
      <c r="K29" s="260">
        <f t="shared" si="4"/>
        <v>8763</v>
      </c>
    </row>
    <row r="30" spans="1:11" ht="12.75">
      <c r="A30" s="50"/>
      <c r="B30" s="34"/>
      <c r="C30" s="24"/>
      <c r="D30" s="25"/>
      <c r="E30" s="26"/>
      <c r="F30" s="24"/>
      <c r="G30" s="26"/>
      <c r="H30" s="24"/>
      <c r="I30" s="94"/>
      <c r="J30" s="116"/>
      <c r="K30" s="25"/>
    </row>
    <row r="31" spans="1:11" ht="12.75">
      <c r="A31" s="50" t="s">
        <v>60</v>
      </c>
      <c r="B31" t="s">
        <v>118</v>
      </c>
      <c r="C31" s="24">
        <v>1523</v>
      </c>
      <c r="D31" s="25">
        <v>3923</v>
      </c>
      <c r="E31" s="26">
        <v>-12</v>
      </c>
      <c r="F31" s="24">
        <v>0</v>
      </c>
      <c r="G31" s="26">
        <v>0</v>
      </c>
      <c r="H31" s="24">
        <v>0</v>
      </c>
      <c r="I31" s="94">
        <v>-2400</v>
      </c>
      <c r="J31" s="116">
        <v>0</v>
      </c>
      <c r="K31" s="59">
        <f>SUM(D31:J31)</f>
        <v>1511</v>
      </c>
    </row>
    <row r="32" spans="1:11" s="11" customFormat="1" ht="12.75">
      <c r="A32" s="257"/>
      <c r="B32" s="259" t="s">
        <v>119</v>
      </c>
      <c r="C32" s="260">
        <f>SUM(C31)</f>
        <v>1523</v>
      </c>
      <c r="D32" s="260">
        <f aca="true" t="shared" si="5" ref="D32:K32">SUM(D31)</f>
        <v>3923</v>
      </c>
      <c r="E32" s="260">
        <f t="shared" si="5"/>
        <v>-12</v>
      </c>
      <c r="F32" s="260">
        <f t="shared" si="5"/>
        <v>0</v>
      </c>
      <c r="G32" s="260">
        <f t="shared" si="5"/>
        <v>0</v>
      </c>
      <c r="H32" s="260">
        <f t="shared" si="5"/>
        <v>0</v>
      </c>
      <c r="I32" s="260">
        <f t="shared" si="5"/>
        <v>-2400</v>
      </c>
      <c r="J32" s="260">
        <f t="shared" si="5"/>
        <v>0</v>
      </c>
      <c r="K32" s="260">
        <f t="shared" si="5"/>
        <v>1511</v>
      </c>
    </row>
    <row r="33" spans="1:11" ht="12.75">
      <c r="A33" s="50"/>
      <c r="B33" s="34"/>
      <c r="C33" s="24"/>
      <c r="D33" s="25"/>
      <c r="E33" s="26"/>
      <c r="F33" s="24"/>
      <c r="G33" s="26"/>
      <c r="H33" s="24"/>
      <c r="I33" s="94"/>
      <c r="J33" s="116"/>
      <c r="K33" s="25"/>
    </row>
    <row r="34" spans="1:11" ht="12.75">
      <c r="A34" s="50" t="s">
        <v>64</v>
      </c>
      <c r="B34" t="s">
        <v>12</v>
      </c>
      <c r="C34" s="24">
        <v>25897</v>
      </c>
      <c r="D34" s="25">
        <v>25897</v>
      </c>
      <c r="E34" s="26">
        <v>-86</v>
      </c>
      <c r="F34" s="24">
        <v>0</v>
      </c>
      <c r="G34" s="26">
        <v>0</v>
      </c>
      <c r="H34" s="24">
        <v>0</v>
      </c>
      <c r="I34" s="94">
        <f>-276-1</f>
        <v>-277</v>
      </c>
      <c r="J34" s="116">
        <v>0</v>
      </c>
      <c r="K34" s="59">
        <f>SUM(D34:J34)+2-1</f>
        <v>25535</v>
      </c>
    </row>
    <row r="35" spans="1:11" s="11" customFormat="1" ht="12.75">
      <c r="A35" s="257"/>
      <c r="B35" s="259" t="s">
        <v>121</v>
      </c>
      <c r="C35" s="260">
        <f>SUM(C34)</f>
        <v>25897</v>
      </c>
      <c r="D35" s="260">
        <f aca="true" t="shared" si="6" ref="D35:K35">SUM(D34)</f>
        <v>25897</v>
      </c>
      <c r="E35" s="260">
        <f t="shared" si="6"/>
        <v>-86</v>
      </c>
      <c r="F35" s="260">
        <f t="shared" si="6"/>
        <v>0</v>
      </c>
      <c r="G35" s="260">
        <f t="shared" si="6"/>
        <v>0</v>
      </c>
      <c r="H35" s="260">
        <f t="shared" si="6"/>
        <v>0</v>
      </c>
      <c r="I35" s="260">
        <f t="shared" si="6"/>
        <v>-277</v>
      </c>
      <c r="J35" s="260">
        <f t="shared" si="6"/>
        <v>0</v>
      </c>
      <c r="K35" s="260">
        <f t="shared" si="6"/>
        <v>25535</v>
      </c>
    </row>
    <row r="36" spans="1:11" ht="12.75">
      <c r="A36" s="50"/>
      <c r="B36" s="34"/>
      <c r="C36" s="24"/>
      <c r="D36" s="25"/>
      <c r="E36" s="26"/>
      <c r="F36" s="24"/>
      <c r="G36" s="26"/>
      <c r="H36" s="24"/>
      <c r="I36" s="94"/>
      <c r="J36" s="116"/>
      <c r="K36" s="25"/>
    </row>
    <row r="37" spans="1:11" ht="12.75">
      <c r="A37" s="50" t="s">
        <v>168</v>
      </c>
      <c r="B37" t="s">
        <v>15</v>
      </c>
      <c r="C37" s="24">
        <v>19214</v>
      </c>
      <c r="D37" s="25">
        <v>10014</v>
      </c>
      <c r="E37" s="26">
        <v>-30</v>
      </c>
      <c r="F37" s="24">
        <v>0</v>
      </c>
      <c r="G37" s="26">
        <v>0</v>
      </c>
      <c r="H37" s="24">
        <v>0</v>
      </c>
      <c r="I37" s="94">
        <v>0</v>
      </c>
      <c r="J37" s="116">
        <v>0</v>
      </c>
      <c r="K37" s="59">
        <f>SUM(D37:J37)</f>
        <v>9984</v>
      </c>
    </row>
    <row r="38" spans="1:11" s="11" customFormat="1" ht="12.75">
      <c r="A38" s="257"/>
      <c r="B38" s="259" t="s">
        <v>122</v>
      </c>
      <c r="C38" s="260">
        <f>SUM(C37)</f>
        <v>19214</v>
      </c>
      <c r="D38" s="260">
        <f aca="true" t="shared" si="7" ref="D38:K38">SUM(D37)</f>
        <v>10014</v>
      </c>
      <c r="E38" s="260">
        <f t="shared" si="7"/>
        <v>-30</v>
      </c>
      <c r="F38" s="260">
        <f t="shared" si="7"/>
        <v>0</v>
      </c>
      <c r="G38" s="260">
        <f t="shared" si="7"/>
        <v>0</v>
      </c>
      <c r="H38" s="260">
        <f t="shared" si="7"/>
        <v>0</v>
      </c>
      <c r="I38" s="260">
        <f t="shared" si="7"/>
        <v>0</v>
      </c>
      <c r="J38" s="260">
        <f t="shared" si="7"/>
        <v>0</v>
      </c>
      <c r="K38" s="260">
        <f t="shared" si="7"/>
        <v>9984</v>
      </c>
    </row>
    <row r="39" spans="1:11" ht="12.75">
      <c r="A39" s="50"/>
      <c r="B39" s="35"/>
      <c r="C39" s="24"/>
      <c r="D39" s="25"/>
      <c r="E39" s="26"/>
      <c r="F39" s="24"/>
      <c r="G39" s="26"/>
      <c r="H39" s="24"/>
      <c r="I39" s="94"/>
      <c r="J39" s="116"/>
      <c r="K39" s="25"/>
    </row>
    <row r="40" spans="1:11" ht="12.75">
      <c r="A40" s="50" t="s">
        <v>62</v>
      </c>
      <c r="B40" t="s">
        <v>17</v>
      </c>
      <c r="C40" s="24">
        <v>5621</v>
      </c>
      <c r="D40" s="25">
        <v>8821</v>
      </c>
      <c r="E40" s="26">
        <v>-17</v>
      </c>
      <c r="F40" s="24">
        <v>0</v>
      </c>
      <c r="G40" s="26">
        <v>0</v>
      </c>
      <c r="H40" s="24">
        <v>0</v>
      </c>
      <c r="I40" s="94">
        <v>0</v>
      </c>
      <c r="J40" s="116">
        <v>0</v>
      </c>
      <c r="K40" s="59">
        <f>SUM(D40:J40)</f>
        <v>8804</v>
      </c>
    </row>
    <row r="41" spans="1:11" s="11" customFormat="1" ht="12.75">
      <c r="A41" s="257"/>
      <c r="B41" s="259" t="s">
        <v>66</v>
      </c>
      <c r="C41" s="260">
        <f>SUM(C40)</f>
        <v>5621</v>
      </c>
      <c r="D41" s="260">
        <f aca="true" t="shared" si="8" ref="D41:K41">SUM(D40)</f>
        <v>8821</v>
      </c>
      <c r="E41" s="260">
        <f t="shared" si="8"/>
        <v>-17</v>
      </c>
      <c r="F41" s="260">
        <f t="shared" si="8"/>
        <v>0</v>
      </c>
      <c r="G41" s="260">
        <f t="shared" si="8"/>
        <v>0</v>
      </c>
      <c r="H41" s="260">
        <f t="shared" si="8"/>
        <v>0</v>
      </c>
      <c r="I41" s="260">
        <f t="shared" si="8"/>
        <v>0</v>
      </c>
      <c r="J41" s="260">
        <f t="shared" si="8"/>
        <v>0</v>
      </c>
      <c r="K41" s="260">
        <f t="shared" si="8"/>
        <v>8804</v>
      </c>
    </row>
    <row r="42" spans="1:11" ht="12.75">
      <c r="A42" s="50"/>
      <c r="B42" s="23"/>
      <c r="C42" s="24"/>
      <c r="D42" s="25"/>
      <c r="E42" s="26"/>
      <c r="F42" s="24"/>
      <c r="G42" s="26"/>
      <c r="H42" s="24"/>
      <c r="I42" s="94"/>
      <c r="J42" s="116"/>
      <c r="K42" s="25"/>
    </row>
    <row r="43" spans="1:11" ht="12.75">
      <c r="A43" s="50" t="s">
        <v>169</v>
      </c>
      <c r="B43" t="s">
        <v>12</v>
      </c>
      <c r="C43" s="24">
        <v>11158</v>
      </c>
      <c r="D43" s="25">
        <v>11158</v>
      </c>
      <c r="E43" s="26">
        <v>-33</v>
      </c>
      <c r="F43" s="24">
        <v>0</v>
      </c>
      <c r="G43" s="26">
        <v>0</v>
      </c>
      <c r="H43" s="24">
        <v>0</v>
      </c>
      <c r="I43" s="94">
        <v>0</v>
      </c>
      <c r="J43" s="116">
        <v>0</v>
      </c>
      <c r="K43" s="59">
        <f>SUM(D43:J43)</f>
        <v>11125</v>
      </c>
    </row>
    <row r="44" spans="1:11" s="11" customFormat="1" ht="12.75">
      <c r="A44" s="257"/>
      <c r="B44" s="259" t="s">
        <v>123</v>
      </c>
      <c r="C44" s="260">
        <f>SUM(C43)</f>
        <v>11158</v>
      </c>
      <c r="D44" s="260">
        <f aca="true" t="shared" si="9" ref="D44:K44">SUM(D43)</f>
        <v>11158</v>
      </c>
      <c r="E44" s="260">
        <f t="shared" si="9"/>
        <v>-33</v>
      </c>
      <c r="F44" s="260">
        <f t="shared" si="9"/>
        <v>0</v>
      </c>
      <c r="G44" s="260">
        <f t="shared" si="9"/>
        <v>0</v>
      </c>
      <c r="H44" s="260">
        <f t="shared" si="9"/>
        <v>0</v>
      </c>
      <c r="I44" s="260">
        <f t="shared" si="9"/>
        <v>0</v>
      </c>
      <c r="J44" s="260">
        <f t="shared" si="9"/>
        <v>0</v>
      </c>
      <c r="K44" s="260">
        <f t="shared" si="9"/>
        <v>11125</v>
      </c>
    </row>
    <row r="45" spans="1:11" ht="12.75">
      <c r="A45" s="50"/>
      <c r="B45" s="23"/>
      <c r="C45" s="24"/>
      <c r="D45" s="25"/>
      <c r="E45" s="26"/>
      <c r="F45" s="24"/>
      <c r="G45" s="26"/>
      <c r="H45" s="24"/>
      <c r="I45" s="94"/>
      <c r="J45" s="116"/>
      <c r="K45" s="25"/>
    </row>
    <row r="46" spans="1:11" ht="12.75">
      <c r="A46" s="50" t="s">
        <v>170</v>
      </c>
      <c r="B46" t="s">
        <v>124</v>
      </c>
      <c r="C46" s="24">
        <v>1498</v>
      </c>
      <c r="D46" s="25">
        <v>1498</v>
      </c>
      <c r="E46" s="26">
        <v>-4</v>
      </c>
      <c r="F46" s="24">
        <v>0</v>
      </c>
      <c r="G46" s="26">
        <v>0</v>
      </c>
      <c r="H46" s="24">
        <v>0</v>
      </c>
      <c r="I46" s="94">
        <v>0</v>
      </c>
      <c r="J46" s="116">
        <v>0</v>
      </c>
      <c r="K46" s="59">
        <f>SUM(D46:J46)</f>
        <v>1494</v>
      </c>
    </row>
    <row r="47" spans="1:11" s="11" customFormat="1" ht="12.75">
      <c r="A47" s="257"/>
      <c r="B47" s="259" t="s">
        <v>125</v>
      </c>
      <c r="C47" s="260">
        <f>SUM(C46)</f>
        <v>1498</v>
      </c>
      <c r="D47" s="260">
        <f aca="true" t="shared" si="10" ref="D47:K47">SUM(D46)</f>
        <v>1498</v>
      </c>
      <c r="E47" s="260">
        <f t="shared" si="10"/>
        <v>-4</v>
      </c>
      <c r="F47" s="260">
        <f t="shared" si="10"/>
        <v>0</v>
      </c>
      <c r="G47" s="260">
        <f t="shared" si="10"/>
        <v>0</v>
      </c>
      <c r="H47" s="260">
        <f t="shared" si="10"/>
        <v>0</v>
      </c>
      <c r="I47" s="260">
        <f t="shared" si="10"/>
        <v>0</v>
      </c>
      <c r="J47" s="260">
        <f t="shared" si="10"/>
        <v>0</v>
      </c>
      <c r="K47" s="260">
        <f t="shared" si="10"/>
        <v>1494</v>
      </c>
    </row>
    <row r="48" spans="1:11" ht="12.75">
      <c r="A48" s="50"/>
      <c r="B48" s="34"/>
      <c r="C48" s="24"/>
      <c r="D48" s="25"/>
      <c r="E48" s="26"/>
      <c r="F48" s="24"/>
      <c r="G48" s="26"/>
      <c r="H48" s="24"/>
      <c r="I48" s="94"/>
      <c r="J48" s="116"/>
      <c r="K48" s="25"/>
    </row>
    <row r="49" spans="1:11" ht="12.75">
      <c r="A49" s="50" t="s">
        <v>171</v>
      </c>
      <c r="B49" t="s">
        <v>12</v>
      </c>
      <c r="C49" s="24">
        <v>2149</v>
      </c>
      <c r="D49" s="25">
        <v>2149</v>
      </c>
      <c r="E49" s="26">
        <v>-6</v>
      </c>
      <c r="F49" s="24">
        <v>0</v>
      </c>
      <c r="G49" s="26">
        <v>0</v>
      </c>
      <c r="H49" s="24">
        <v>0</v>
      </c>
      <c r="I49" s="94">
        <v>0</v>
      </c>
      <c r="J49" s="116">
        <v>0</v>
      </c>
      <c r="K49" s="59">
        <f>SUM(D49:J49)</f>
        <v>2143</v>
      </c>
    </row>
    <row r="50" spans="1:11" s="11" customFormat="1" ht="12.75">
      <c r="A50" s="257"/>
      <c r="B50" s="259" t="s">
        <v>126</v>
      </c>
      <c r="C50" s="260">
        <f>SUM(C49)</f>
        <v>2149</v>
      </c>
      <c r="D50" s="260">
        <f aca="true" t="shared" si="11" ref="D50:K50">SUM(D49)</f>
        <v>2149</v>
      </c>
      <c r="E50" s="260">
        <f t="shared" si="11"/>
        <v>-6</v>
      </c>
      <c r="F50" s="260">
        <f t="shared" si="11"/>
        <v>0</v>
      </c>
      <c r="G50" s="260">
        <f t="shared" si="11"/>
        <v>0</v>
      </c>
      <c r="H50" s="260">
        <f t="shared" si="11"/>
        <v>0</v>
      </c>
      <c r="I50" s="260">
        <f t="shared" si="11"/>
        <v>0</v>
      </c>
      <c r="J50" s="260">
        <f t="shared" si="11"/>
        <v>0</v>
      </c>
      <c r="K50" s="260">
        <f t="shared" si="11"/>
        <v>2143</v>
      </c>
    </row>
    <row r="51" spans="1:11" ht="12.75">
      <c r="A51" s="50"/>
      <c r="B51" s="23"/>
      <c r="C51" s="24"/>
      <c r="D51" s="25"/>
      <c r="E51" s="26"/>
      <c r="F51" s="24"/>
      <c r="G51" s="26"/>
      <c r="H51" s="24"/>
      <c r="I51" s="94"/>
      <c r="J51" s="116"/>
      <c r="K51" s="25"/>
    </row>
    <row r="52" spans="1:11" ht="12.75">
      <c r="A52" s="50" t="s">
        <v>172</v>
      </c>
      <c r="B52" t="s">
        <v>12</v>
      </c>
      <c r="C52" s="24">
        <v>689</v>
      </c>
      <c r="D52" s="25">
        <v>689</v>
      </c>
      <c r="E52" s="26">
        <v>-2</v>
      </c>
      <c r="F52" s="24">
        <v>0</v>
      </c>
      <c r="G52" s="26">
        <v>0</v>
      </c>
      <c r="H52" s="24">
        <v>0</v>
      </c>
      <c r="I52" s="94">
        <v>0</v>
      </c>
      <c r="J52" s="116">
        <v>0</v>
      </c>
      <c r="K52" s="59">
        <f>SUM(D52:J52)</f>
        <v>687</v>
      </c>
    </row>
    <row r="53" spans="1:11" s="11" customFormat="1" ht="12.75">
      <c r="A53" s="257"/>
      <c r="B53" s="259" t="s">
        <v>127</v>
      </c>
      <c r="C53" s="260">
        <f>SUM(C52)</f>
        <v>689</v>
      </c>
      <c r="D53" s="260">
        <f aca="true" t="shared" si="12" ref="D53:K53">SUM(D52)</f>
        <v>689</v>
      </c>
      <c r="E53" s="260">
        <f t="shared" si="12"/>
        <v>-2</v>
      </c>
      <c r="F53" s="260">
        <f t="shared" si="12"/>
        <v>0</v>
      </c>
      <c r="G53" s="260">
        <f t="shared" si="12"/>
        <v>0</v>
      </c>
      <c r="H53" s="260">
        <f t="shared" si="12"/>
        <v>0</v>
      </c>
      <c r="I53" s="260">
        <f t="shared" si="12"/>
        <v>0</v>
      </c>
      <c r="J53" s="260">
        <f t="shared" si="12"/>
        <v>0</v>
      </c>
      <c r="K53" s="260">
        <f t="shared" si="12"/>
        <v>687</v>
      </c>
    </row>
    <row r="54" spans="1:11" s="11" customFormat="1" ht="12.75">
      <c r="A54" s="50"/>
      <c r="C54" s="56"/>
      <c r="D54" s="56"/>
      <c r="E54" s="56"/>
      <c r="F54" s="56"/>
      <c r="G54" s="56"/>
      <c r="H54" s="56"/>
      <c r="I54" s="124"/>
      <c r="J54" s="124"/>
      <c r="K54" s="56"/>
    </row>
    <row r="55" spans="1:11" s="11" customFormat="1" ht="12.75">
      <c r="A55" s="50" t="s">
        <v>205</v>
      </c>
      <c r="B55" s="27" t="s">
        <v>206</v>
      </c>
      <c r="C55" s="24">
        <v>436</v>
      </c>
      <c r="D55" s="25">
        <v>436</v>
      </c>
      <c r="E55" s="26">
        <v>-1</v>
      </c>
      <c r="F55" s="24">
        <v>0</v>
      </c>
      <c r="G55" s="26">
        <v>0</v>
      </c>
      <c r="H55" s="24">
        <v>0</v>
      </c>
      <c r="I55" s="94">
        <v>0</v>
      </c>
      <c r="J55" s="116">
        <v>0</v>
      </c>
      <c r="K55" s="59">
        <f>SUM(D55:J55)</f>
        <v>435</v>
      </c>
    </row>
    <row r="56" spans="1:11" s="11" customFormat="1" ht="12.75">
      <c r="A56" s="257"/>
      <c r="B56" s="259" t="s">
        <v>204</v>
      </c>
      <c r="C56" s="260">
        <f>SUM(C55)</f>
        <v>436</v>
      </c>
      <c r="D56" s="260">
        <f aca="true" t="shared" si="13" ref="D56:K56">SUM(D55)</f>
        <v>436</v>
      </c>
      <c r="E56" s="260">
        <f t="shared" si="13"/>
        <v>-1</v>
      </c>
      <c r="F56" s="260">
        <f t="shared" si="13"/>
        <v>0</v>
      </c>
      <c r="G56" s="260">
        <f t="shared" si="13"/>
        <v>0</v>
      </c>
      <c r="H56" s="260">
        <f t="shared" si="13"/>
        <v>0</v>
      </c>
      <c r="I56" s="260">
        <f t="shared" si="13"/>
        <v>0</v>
      </c>
      <c r="J56" s="260">
        <f t="shared" si="13"/>
        <v>0</v>
      </c>
      <c r="K56" s="260">
        <f t="shared" si="13"/>
        <v>435</v>
      </c>
    </row>
    <row r="57" spans="1:11" s="11" customFormat="1" ht="12.75">
      <c r="A57" s="50"/>
      <c r="C57" s="56"/>
      <c r="D57" s="56"/>
      <c r="E57" s="56"/>
      <c r="F57" s="56"/>
      <c r="G57" s="56"/>
      <c r="H57" s="56"/>
      <c r="I57" s="124"/>
      <c r="J57" s="124"/>
      <c r="K57" s="56"/>
    </row>
    <row r="58" spans="1:11" s="11" customFormat="1" ht="12.75">
      <c r="A58" s="50" t="s">
        <v>179</v>
      </c>
      <c r="B58" s="93" t="s">
        <v>4</v>
      </c>
      <c r="C58" s="116">
        <v>4505</v>
      </c>
      <c r="D58" s="25">
        <v>4505</v>
      </c>
      <c r="E58" s="116">
        <v>-13</v>
      </c>
      <c r="F58" s="116">
        <v>0</v>
      </c>
      <c r="G58" s="26">
        <v>0</v>
      </c>
      <c r="H58" s="116">
        <v>0</v>
      </c>
      <c r="I58" s="94">
        <v>0</v>
      </c>
      <c r="J58" s="116">
        <f>SUM('FY 09-11 DD 1416 Tracker-Total'!AU70)</f>
        <v>0</v>
      </c>
      <c r="K58" s="59">
        <f>SUM(D58:J58)</f>
        <v>4492</v>
      </c>
    </row>
    <row r="59" spans="1:11" s="11" customFormat="1" ht="12.75">
      <c r="A59" s="257"/>
      <c r="B59" s="259" t="s">
        <v>48</v>
      </c>
      <c r="C59" s="260">
        <f aca="true" t="shared" si="14" ref="C59:K59">SUM(C58)</f>
        <v>4505</v>
      </c>
      <c r="D59" s="260">
        <f t="shared" si="14"/>
        <v>4505</v>
      </c>
      <c r="E59" s="260">
        <f t="shared" si="14"/>
        <v>-13</v>
      </c>
      <c r="F59" s="260">
        <f t="shared" si="14"/>
        <v>0</v>
      </c>
      <c r="G59" s="260">
        <f t="shared" si="14"/>
        <v>0</v>
      </c>
      <c r="H59" s="260">
        <f t="shared" si="14"/>
        <v>0</v>
      </c>
      <c r="I59" s="260">
        <f t="shared" si="14"/>
        <v>0</v>
      </c>
      <c r="J59" s="260">
        <f t="shared" si="14"/>
        <v>0</v>
      </c>
      <c r="K59" s="260">
        <f t="shared" si="14"/>
        <v>4492</v>
      </c>
    </row>
    <row r="60" spans="1:11" s="11" customFormat="1" ht="13.5" thickBot="1">
      <c r="A60" s="50"/>
      <c r="C60" s="56"/>
      <c r="D60" s="56"/>
      <c r="E60" s="56"/>
      <c r="F60" s="56"/>
      <c r="G60" s="56"/>
      <c r="H60" s="56"/>
      <c r="I60" s="124"/>
      <c r="J60" s="124"/>
      <c r="K60" s="56"/>
    </row>
    <row r="61" spans="1:11" s="52" customFormat="1" ht="13.5" thickBot="1">
      <c r="A61" s="245"/>
      <c r="B61" s="51" t="s">
        <v>232</v>
      </c>
      <c r="C61" s="38">
        <f>SUM(C9+C13+C26+C29+C32+C35+C38+C41+C44+C47+C50+C53+C56+C59)</f>
        <v>575166</v>
      </c>
      <c r="D61" s="38">
        <f aca="true" t="shared" si="15" ref="D61:K61">SUM(D9+D13+D26+D29+D32+D35+D38+D41+D44+D47+D50+D53+D56+D59)</f>
        <v>551414</v>
      </c>
      <c r="E61" s="38">
        <f t="shared" si="15"/>
        <v>-1625</v>
      </c>
      <c r="F61" s="38">
        <f t="shared" si="15"/>
        <v>0</v>
      </c>
      <c r="G61" s="38">
        <f t="shared" si="15"/>
        <v>0</v>
      </c>
      <c r="H61" s="38">
        <f t="shared" si="15"/>
        <v>0</v>
      </c>
      <c r="I61" s="38">
        <f t="shared" si="15"/>
        <v>-3461</v>
      </c>
      <c r="J61" s="38">
        <f t="shared" si="15"/>
        <v>0</v>
      </c>
      <c r="K61" s="38">
        <f t="shared" si="15"/>
        <v>546329</v>
      </c>
    </row>
    <row r="62" spans="1:11" ht="12.75">
      <c r="A62" s="246"/>
      <c r="B62" s="36"/>
      <c r="C62" s="24"/>
      <c r="D62" s="25"/>
      <c r="E62" s="26"/>
      <c r="F62" s="24"/>
      <c r="G62" s="26"/>
      <c r="H62" s="24"/>
      <c r="I62" s="94"/>
      <c r="J62" s="116"/>
      <c r="K62" s="25"/>
    </row>
    <row r="63" spans="1:13" ht="12.75">
      <c r="A63" s="50" t="s">
        <v>174</v>
      </c>
      <c r="B63" s="3" t="s">
        <v>22</v>
      </c>
      <c r="C63" s="24">
        <v>51950</v>
      </c>
      <c r="D63" s="25">
        <v>89350</v>
      </c>
      <c r="E63" s="26">
        <v>-153</v>
      </c>
      <c r="F63" s="24">
        <v>0</v>
      </c>
      <c r="G63" s="26">
        <v>0</v>
      </c>
      <c r="H63" s="24">
        <v>0</v>
      </c>
      <c r="I63" s="94">
        <v>0</v>
      </c>
      <c r="J63" s="116">
        <f>4194+2128-2678+450</f>
        <v>4094</v>
      </c>
      <c r="K63" s="59">
        <f>SUM(D63:J63)</f>
        <v>93291</v>
      </c>
      <c r="L63" s="16"/>
      <c r="M63" s="16"/>
    </row>
    <row r="64" spans="1:13" ht="12.75">
      <c r="A64" s="50"/>
      <c r="B64" s="3" t="s">
        <v>254</v>
      </c>
      <c r="C64" s="24">
        <v>63667</v>
      </c>
      <c r="D64" s="25">
        <v>63667</v>
      </c>
      <c r="E64" s="26">
        <v>-188</v>
      </c>
      <c r="F64" s="24">
        <v>0</v>
      </c>
      <c r="G64" s="26">
        <v>0</v>
      </c>
      <c r="H64" s="24">
        <v>0</v>
      </c>
      <c r="I64" s="94">
        <v>366</v>
      </c>
      <c r="J64" s="116">
        <f>11201-2128+2527</f>
        <v>11600</v>
      </c>
      <c r="K64" s="59">
        <f aca="true" t="shared" si="16" ref="K64:K98">SUM(D64:J64)</f>
        <v>75445</v>
      </c>
      <c r="L64" s="16"/>
      <c r="M64" s="16"/>
    </row>
    <row r="65" spans="1:13" ht="12.75">
      <c r="A65" s="50"/>
      <c r="B65" s="3" t="s">
        <v>23</v>
      </c>
      <c r="C65" s="24">
        <v>98163</v>
      </c>
      <c r="D65" s="25">
        <v>98163</v>
      </c>
      <c r="E65" s="26">
        <v>-400</v>
      </c>
      <c r="F65" s="24">
        <v>0</v>
      </c>
      <c r="G65" s="26">
        <v>0</v>
      </c>
      <c r="H65" s="24">
        <v>0</v>
      </c>
      <c r="I65" s="94">
        <v>0</v>
      </c>
      <c r="J65" s="116">
        <v>-1800</v>
      </c>
      <c r="K65" s="59">
        <f t="shared" si="16"/>
        <v>95963</v>
      </c>
      <c r="L65" s="16"/>
      <c r="M65" s="16"/>
    </row>
    <row r="66" spans="1:13" ht="12.75">
      <c r="A66" s="50"/>
      <c r="B66" s="3" t="s">
        <v>133</v>
      </c>
      <c r="C66" s="24">
        <v>39172</v>
      </c>
      <c r="D66" s="25">
        <v>39172</v>
      </c>
      <c r="E66" s="26">
        <v>-116</v>
      </c>
      <c r="F66" s="24">
        <v>0</v>
      </c>
      <c r="G66" s="26">
        <v>0</v>
      </c>
      <c r="H66" s="24">
        <v>0</v>
      </c>
      <c r="I66" s="94">
        <v>0</v>
      </c>
      <c r="J66" s="116">
        <v>10740</v>
      </c>
      <c r="K66" s="59">
        <f t="shared" si="16"/>
        <v>49796</v>
      </c>
      <c r="L66" s="16"/>
      <c r="M66" s="16"/>
    </row>
    <row r="67" spans="1:13" ht="12.75">
      <c r="A67" s="50"/>
      <c r="B67" s="3" t="s">
        <v>134</v>
      </c>
      <c r="C67" s="24">
        <v>36286</v>
      </c>
      <c r="D67" s="25">
        <v>11286</v>
      </c>
      <c r="E67" s="26">
        <v>-33</v>
      </c>
      <c r="F67" s="24">
        <v>0</v>
      </c>
      <c r="G67" s="26">
        <v>0</v>
      </c>
      <c r="H67" s="24">
        <v>0</v>
      </c>
      <c r="I67" s="94">
        <v>0</v>
      </c>
      <c r="J67" s="116">
        <v>-847</v>
      </c>
      <c r="K67" s="59">
        <f t="shared" si="16"/>
        <v>10406</v>
      </c>
      <c r="L67" s="16"/>
      <c r="M67" s="16"/>
    </row>
    <row r="68" spans="1:13" ht="12.75">
      <c r="A68" s="50"/>
      <c r="B68" s="3" t="s">
        <v>219</v>
      </c>
      <c r="C68" s="24">
        <v>7659</v>
      </c>
      <c r="D68" s="25">
        <v>7659</v>
      </c>
      <c r="E68" s="26">
        <v>-23</v>
      </c>
      <c r="F68" s="24">
        <v>0</v>
      </c>
      <c r="G68" s="26">
        <v>0</v>
      </c>
      <c r="H68" s="24">
        <v>0</v>
      </c>
      <c r="I68" s="94">
        <v>0</v>
      </c>
      <c r="J68" s="116">
        <v>0</v>
      </c>
      <c r="K68" s="59">
        <f t="shared" si="16"/>
        <v>7636</v>
      </c>
      <c r="L68" s="16"/>
      <c r="M68" s="16"/>
    </row>
    <row r="69" spans="1:13" ht="12.75">
      <c r="A69" s="50"/>
      <c r="B69" s="3" t="s">
        <v>24</v>
      </c>
      <c r="C69" s="24">
        <v>162971</v>
      </c>
      <c r="D69" s="25">
        <v>162971</v>
      </c>
      <c r="E69" s="26">
        <v>-481</v>
      </c>
      <c r="F69" s="24">
        <v>0</v>
      </c>
      <c r="G69" s="26">
        <v>0</v>
      </c>
      <c r="H69" s="24">
        <v>0</v>
      </c>
      <c r="I69" s="94">
        <v>0</v>
      </c>
      <c r="J69" s="116">
        <v>-7460</v>
      </c>
      <c r="K69" s="59">
        <f t="shared" si="16"/>
        <v>155030</v>
      </c>
      <c r="L69" s="16"/>
      <c r="M69" s="16"/>
    </row>
    <row r="70" spans="1:13" ht="12.75">
      <c r="A70" s="50"/>
      <c r="B70" s="3" t="s">
        <v>25</v>
      </c>
      <c r="C70" s="24">
        <v>47018</v>
      </c>
      <c r="D70" s="25">
        <v>33277</v>
      </c>
      <c r="E70" s="26">
        <v>-98</v>
      </c>
      <c r="F70" s="24">
        <v>0</v>
      </c>
      <c r="G70" s="26">
        <v>17000</v>
      </c>
      <c r="H70" s="24">
        <v>0</v>
      </c>
      <c r="I70" s="94">
        <v>141300</v>
      </c>
      <c r="J70" s="116">
        <f>-2392+31+847</f>
        <v>-1514</v>
      </c>
      <c r="K70" s="59">
        <f t="shared" si="16"/>
        <v>189965</v>
      </c>
      <c r="L70" s="16"/>
      <c r="M70" s="16"/>
    </row>
    <row r="71" spans="1:13" ht="12.75">
      <c r="A71" s="50"/>
      <c r="B71" s="3" t="s">
        <v>26</v>
      </c>
      <c r="C71" s="24">
        <v>1347</v>
      </c>
      <c r="D71" s="25">
        <v>1347</v>
      </c>
      <c r="E71" s="26">
        <v>-4</v>
      </c>
      <c r="F71" s="24">
        <v>0</v>
      </c>
      <c r="G71" s="26">
        <v>0</v>
      </c>
      <c r="H71" s="24">
        <v>0</v>
      </c>
      <c r="I71" s="94">
        <v>-818</v>
      </c>
      <c r="J71" s="116">
        <f>-237-31+303</f>
        <v>35</v>
      </c>
      <c r="K71" s="59">
        <f t="shared" si="16"/>
        <v>560</v>
      </c>
      <c r="L71" s="16"/>
      <c r="M71" s="16"/>
    </row>
    <row r="72" spans="1:13" ht="12.75">
      <c r="A72" s="50"/>
      <c r="B72" s="3" t="s">
        <v>27</v>
      </c>
      <c r="C72" s="24">
        <v>5760</v>
      </c>
      <c r="D72" s="25">
        <v>5760</v>
      </c>
      <c r="E72" s="26">
        <v>-17</v>
      </c>
      <c r="F72" s="24">
        <v>0</v>
      </c>
      <c r="G72" s="26">
        <v>-5200</v>
      </c>
      <c r="H72" s="24">
        <v>0</v>
      </c>
      <c r="I72" s="94">
        <v>0</v>
      </c>
      <c r="J72" s="116">
        <f>0-108-303</f>
        <v>-411</v>
      </c>
      <c r="K72" s="59">
        <f t="shared" si="16"/>
        <v>132</v>
      </c>
      <c r="L72" s="365"/>
      <c r="M72" s="16"/>
    </row>
    <row r="73" spans="1:13" ht="12.75">
      <c r="A73" s="50"/>
      <c r="B73" s="3" t="s">
        <v>28</v>
      </c>
      <c r="C73" s="24">
        <v>7061</v>
      </c>
      <c r="D73" s="25">
        <v>7061</v>
      </c>
      <c r="E73" s="26">
        <v>-21</v>
      </c>
      <c r="F73" s="24">
        <v>0</v>
      </c>
      <c r="G73" s="26">
        <v>0</v>
      </c>
      <c r="H73" s="24">
        <v>0</v>
      </c>
      <c r="I73" s="94">
        <v>303</v>
      </c>
      <c r="J73" s="116">
        <f>0+108</f>
        <v>108</v>
      </c>
      <c r="K73" s="59">
        <f t="shared" si="16"/>
        <v>7451</v>
      </c>
      <c r="L73" s="16"/>
      <c r="M73" s="16"/>
    </row>
    <row r="74" spans="1:13" ht="12.75">
      <c r="A74" s="50"/>
      <c r="B74" s="3" t="s">
        <v>135</v>
      </c>
      <c r="C74" s="24">
        <v>67083</v>
      </c>
      <c r="D74" s="25">
        <v>67083</v>
      </c>
      <c r="E74" s="26">
        <v>-198</v>
      </c>
      <c r="F74" s="24">
        <v>0</v>
      </c>
      <c r="G74" s="26">
        <f>43640+1000</f>
        <v>44640</v>
      </c>
      <c r="H74" s="24">
        <v>0</v>
      </c>
      <c r="I74" s="94">
        <v>0</v>
      </c>
      <c r="J74" s="116">
        <v>-5924</v>
      </c>
      <c r="K74" s="59">
        <f t="shared" si="16"/>
        <v>105601</v>
      </c>
      <c r="L74" s="16"/>
      <c r="M74" s="16"/>
    </row>
    <row r="75" spans="1:13" ht="12.75">
      <c r="A75" s="50"/>
      <c r="B75" s="3" t="s">
        <v>136</v>
      </c>
      <c r="C75" s="24">
        <v>5540</v>
      </c>
      <c r="D75" s="25">
        <v>12540</v>
      </c>
      <c r="E75" s="26">
        <v>-37</v>
      </c>
      <c r="F75" s="24">
        <v>0</v>
      </c>
      <c r="G75" s="26">
        <v>0</v>
      </c>
      <c r="H75" s="24">
        <v>0</v>
      </c>
      <c r="I75" s="94">
        <v>0</v>
      </c>
      <c r="J75" s="116">
        <v>7051</v>
      </c>
      <c r="K75" s="59">
        <f t="shared" si="16"/>
        <v>19554</v>
      </c>
      <c r="L75" s="16"/>
      <c r="M75" s="16"/>
    </row>
    <row r="76" spans="1:13" ht="12.75">
      <c r="A76" s="50"/>
      <c r="B76" s="3" t="s">
        <v>137</v>
      </c>
      <c r="C76" s="24">
        <v>67220</v>
      </c>
      <c r="D76" s="25">
        <v>73220</v>
      </c>
      <c r="E76" s="26">
        <v>-216</v>
      </c>
      <c r="F76" s="24">
        <v>0</v>
      </c>
      <c r="G76" s="26">
        <v>3100</v>
      </c>
      <c r="H76" s="24">
        <v>0</v>
      </c>
      <c r="I76" s="94">
        <v>0</v>
      </c>
      <c r="J76" s="116">
        <f>7058-120</f>
        <v>6938</v>
      </c>
      <c r="K76" s="59">
        <f t="shared" si="16"/>
        <v>83042</v>
      </c>
      <c r="L76" s="16"/>
      <c r="M76" s="16"/>
    </row>
    <row r="77" spans="1:13" ht="12.75">
      <c r="A77" s="50"/>
      <c r="B77" s="3" t="s">
        <v>29</v>
      </c>
      <c r="C77" s="24">
        <v>54122</v>
      </c>
      <c r="D77" s="25">
        <v>56122</v>
      </c>
      <c r="E77" s="26">
        <v>-165</v>
      </c>
      <c r="F77" s="24">
        <v>0</v>
      </c>
      <c r="G77" s="26">
        <v>8100</v>
      </c>
      <c r="H77" s="24">
        <v>0</v>
      </c>
      <c r="I77" s="94">
        <v>360</v>
      </c>
      <c r="J77" s="116">
        <v>2391</v>
      </c>
      <c r="K77" s="59">
        <f t="shared" si="16"/>
        <v>66808</v>
      </c>
      <c r="L77" s="16"/>
      <c r="M77" s="16"/>
    </row>
    <row r="78" spans="1:13" ht="12.75">
      <c r="A78" s="50"/>
      <c r="B78" s="3" t="s">
        <v>31</v>
      </c>
      <c r="C78" s="24">
        <v>15689</v>
      </c>
      <c r="D78" s="25">
        <v>23489</v>
      </c>
      <c r="E78" s="26">
        <v>-69</v>
      </c>
      <c r="F78" s="24">
        <v>0</v>
      </c>
      <c r="G78" s="26">
        <v>16250</v>
      </c>
      <c r="H78" s="24">
        <v>0</v>
      </c>
      <c r="I78" s="94">
        <v>0</v>
      </c>
      <c r="J78" s="116">
        <f>-103-16250+16250-16250</f>
        <v>-16353</v>
      </c>
      <c r="K78" s="59">
        <f t="shared" si="16"/>
        <v>23317</v>
      </c>
      <c r="L78" s="16"/>
      <c r="M78" s="16"/>
    </row>
    <row r="79" spans="1:13" ht="12.75">
      <c r="A79" s="50"/>
      <c r="B79" s="3" t="s">
        <v>32</v>
      </c>
      <c r="C79" s="24">
        <v>1265</v>
      </c>
      <c r="D79" s="25">
        <v>1265</v>
      </c>
      <c r="E79" s="26">
        <v>-4</v>
      </c>
      <c r="F79" s="24">
        <v>0</v>
      </c>
      <c r="G79" s="26">
        <v>0</v>
      </c>
      <c r="H79" s="24">
        <v>0</v>
      </c>
      <c r="I79" s="94">
        <v>0</v>
      </c>
      <c r="J79" s="116">
        <v>0</v>
      </c>
      <c r="K79" s="59">
        <f t="shared" si="16"/>
        <v>1261</v>
      </c>
      <c r="L79" s="16"/>
      <c r="M79" s="16"/>
    </row>
    <row r="80" spans="1:13" ht="12.75">
      <c r="A80" s="50"/>
      <c r="B80" s="3" t="s">
        <v>138</v>
      </c>
      <c r="C80" s="24">
        <v>12484</v>
      </c>
      <c r="D80" s="25">
        <v>12484</v>
      </c>
      <c r="E80" s="26">
        <v>-37</v>
      </c>
      <c r="F80" s="24">
        <v>0</v>
      </c>
      <c r="G80" s="26">
        <v>0</v>
      </c>
      <c r="H80" s="24">
        <v>0</v>
      </c>
      <c r="I80" s="94">
        <v>0</v>
      </c>
      <c r="J80" s="116">
        <v>0</v>
      </c>
      <c r="K80" s="59">
        <f t="shared" si="16"/>
        <v>12447</v>
      </c>
      <c r="L80" s="16"/>
      <c r="M80" s="16"/>
    </row>
    <row r="81" spans="1:13" ht="12.75">
      <c r="A81" s="50"/>
      <c r="B81" s="3" t="s">
        <v>33</v>
      </c>
      <c r="C81" s="24">
        <v>18795</v>
      </c>
      <c r="D81" s="25">
        <v>21675</v>
      </c>
      <c r="E81" s="26">
        <v>-64</v>
      </c>
      <c r="F81" s="24">
        <v>0</v>
      </c>
      <c r="G81" s="26">
        <v>0</v>
      </c>
      <c r="H81" s="24">
        <v>0</v>
      </c>
      <c r="I81" s="94">
        <v>0</v>
      </c>
      <c r="J81" s="116">
        <f>-495-8</f>
        <v>-503</v>
      </c>
      <c r="K81" s="59">
        <f t="shared" si="16"/>
        <v>21108</v>
      </c>
      <c r="L81" s="16"/>
      <c r="M81" s="16"/>
    </row>
    <row r="82" spans="1:13" ht="12.75">
      <c r="A82" s="50"/>
      <c r="B82" s="3" t="s">
        <v>34</v>
      </c>
      <c r="C82" s="24">
        <v>3272</v>
      </c>
      <c r="D82" s="25">
        <v>3272</v>
      </c>
      <c r="E82" s="26">
        <v>-10</v>
      </c>
      <c r="F82" s="24">
        <v>0</v>
      </c>
      <c r="G82" s="26">
        <v>0</v>
      </c>
      <c r="H82" s="24">
        <v>0</v>
      </c>
      <c r="I82" s="94">
        <v>0</v>
      </c>
      <c r="J82" s="116">
        <v>-651</v>
      </c>
      <c r="K82" s="59">
        <f t="shared" si="16"/>
        <v>2611</v>
      </c>
      <c r="L82" s="16"/>
      <c r="M82" s="16"/>
    </row>
    <row r="83" spans="1:13" ht="12.75">
      <c r="A83" s="50"/>
      <c r="B83" s="3" t="s">
        <v>35</v>
      </c>
      <c r="C83" s="24">
        <v>3702</v>
      </c>
      <c r="D83" s="25">
        <v>3702</v>
      </c>
      <c r="E83" s="26">
        <v>-11</v>
      </c>
      <c r="F83" s="24">
        <v>0</v>
      </c>
      <c r="G83" s="26">
        <v>-6400</v>
      </c>
      <c r="H83" s="24">
        <v>0</v>
      </c>
      <c r="I83" s="94">
        <f>17000+142000</f>
        <v>159000</v>
      </c>
      <c r="J83" s="116">
        <f>900+6400-6400+6400</f>
        <v>7300</v>
      </c>
      <c r="K83" s="59">
        <f t="shared" si="16"/>
        <v>163591</v>
      </c>
      <c r="L83" s="16"/>
      <c r="M83" s="16"/>
    </row>
    <row r="84" spans="1:13" ht="12.75">
      <c r="A84" s="50"/>
      <c r="B84" s="3" t="s">
        <v>139</v>
      </c>
      <c r="C84" s="24">
        <v>34151</v>
      </c>
      <c r="D84" s="25">
        <v>36151</v>
      </c>
      <c r="E84" s="26">
        <v>-107</v>
      </c>
      <c r="F84" s="24">
        <v>0</v>
      </c>
      <c r="G84" s="26">
        <v>0</v>
      </c>
      <c r="H84" s="24">
        <v>0</v>
      </c>
      <c r="I84" s="94">
        <v>155</v>
      </c>
      <c r="J84" s="116">
        <v>0</v>
      </c>
      <c r="K84" s="59">
        <f t="shared" si="16"/>
        <v>36199</v>
      </c>
      <c r="L84" s="16"/>
      <c r="M84" s="16"/>
    </row>
    <row r="85" spans="1:13" ht="12.75">
      <c r="A85" s="50"/>
      <c r="B85" s="3" t="s">
        <v>140</v>
      </c>
      <c r="C85" s="24">
        <v>21593</v>
      </c>
      <c r="D85" s="25">
        <v>20000</v>
      </c>
      <c r="E85" s="26">
        <v>-59</v>
      </c>
      <c r="F85" s="24">
        <v>0</v>
      </c>
      <c r="G85" s="26">
        <v>0</v>
      </c>
      <c r="H85" s="24">
        <v>0</v>
      </c>
      <c r="I85" s="94">
        <v>0</v>
      </c>
      <c r="J85" s="116">
        <v>1059</v>
      </c>
      <c r="K85" s="59">
        <f t="shared" si="16"/>
        <v>21000</v>
      </c>
      <c r="L85" s="16"/>
      <c r="M85" s="16"/>
    </row>
    <row r="86" spans="1:13" ht="12.75">
      <c r="A86" s="50"/>
      <c r="B86" s="3" t="s">
        <v>36</v>
      </c>
      <c r="C86" s="24">
        <v>11722</v>
      </c>
      <c r="D86" s="25">
        <v>11722</v>
      </c>
      <c r="E86" s="26">
        <v>-35</v>
      </c>
      <c r="F86" s="24">
        <v>0</v>
      </c>
      <c r="G86" s="26">
        <v>0</v>
      </c>
      <c r="H86" s="24">
        <v>0</v>
      </c>
      <c r="I86" s="94">
        <v>0</v>
      </c>
      <c r="J86" s="116">
        <f>-2337+120</f>
        <v>-2217</v>
      </c>
      <c r="K86" s="59">
        <f t="shared" si="16"/>
        <v>9470</v>
      </c>
      <c r="L86" s="16"/>
      <c r="M86" s="16"/>
    </row>
    <row r="87" spans="1:13" ht="12.75">
      <c r="A87" s="50"/>
      <c r="B87" s="3" t="s">
        <v>37</v>
      </c>
      <c r="C87" s="24">
        <v>27194</v>
      </c>
      <c r="D87" s="25">
        <v>55561</v>
      </c>
      <c r="E87" s="26">
        <v>-164</v>
      </c>
      <c r="F87" s="24">
        <v>0</v>
      </c>
      <c r="G87" s="26">
        <v>0</v>
      </c>
      <c r="H87" s="24">
        <v>0</v>
      </c>
      <c r="I87" s="94">
        <v>0</v>
      </c>
      <c r="J87" s="116">
        <f>0-6400+6400-6400</f>
        <v>-6400</v>
      </c>
      <c r="K87" s="59">
        <f t="shared" si="16"/>
        <v>48997</v>
      </c>
      <c r="L87" s="16"/>
      <c r="M87" s="16"/>
    </row>
    <row r="88" spans="1:13" ht="12.75">
      <c r="A88" s="50"/>
      <c r="B88" s="3" t="s">
        <v>220</v>
      </c>
      <c r="C88" s="24">
        <v>55248</v>
      </c>
      <c r="D88" s="25">
        <v>55248</v>
      </c>
      <c r="E88" s="26">
        <v>-163</v>
      </c>
      <c r="F88" s="24">
        <v>0</v>
      </c>
      <c r="G88" s="26">
        <v>0</v>
      </c>
      <c r="H88" s="24">
        <v>0</v>
      </c>
      <c r="I88" s="94">
        <v>0</v>
      </c>
      <c r="J88" s="370">
        <v>551</v>
      </c>
      <c r="K88" s="59">
        <f t="shared" si="16"/>
        <v>55636</v>
      </c>
      <c r="L88" s="16"/>
      <c r="M88" s="16"/>
    </row>
    <row r="89" spans="1:13" ht="12.75">
      <c r="A89" s="50"/>
      <c r="B89" s="117" t="s">
        <v>221</v>
      </c>
      <c r="C89" s="24">
        <v>15862</v>
      </c>
      <c r="D89" s="25">
        <v>15862</v>
      </c>
      <c r="E89" s="26">
        <v>-47</v>
      </c>
      <c r="F89" s="24">
        <v>0</v>
      </c>
      <c r="G89" s="26">
        <v>0</v>
      </c>
      <c r="H89" s="24">
        <v>0</v>
      </c>
      <c r="I89" s="94">
        <v>0</v>
      </c>
      <c r="J89" s="116">
        <v>-830</v>
      </c>
      <c r="K89" s="59">
        <f>SUM(D89:J89)</f>
        <v>14985</v>
      </c>
      <c r="L89" s="16"/>
      <c r="M89" s="16"/>
    </row>
    <row r="90" spans="1:13" ht="12.75">
      <c r="A90" s="50"/>
      <c r="B90" s="3" t="s">
        <v>223</v>
      </c>
      <c r="C90" s="24">
        <v>25892</v>
      </c>
      <c r="D90" s="25">
        <v>25892</v>
      </c>
      <c r="E90" s="26">
        <v>-76</v>
      </c>
      <c r="F90" s="24">
        <v>0</v>
      </c>
      <c r="G90" s="26">
        <v>33750</v>
      </c>
      <c r="H90" s="24">
        <v>0</v>
      </c>
      <c r="I90" s="94">
        <v>0</v>
      </c>
      <c r="J90" s="116">
        <f>0+5000</f>
        <v>5000</v>
      </c>
      <c r="K90" s="59">
        <f>SUM(D90:J90)</f>
        <v>64566</v>
      </c>
      <c r="L90" s="16"/>
      <c r="M90" s="16"/>
    </row>
    <row r="91" spans="1:13" ht="12.75">
      <c r="A91" s="50"/>
      <c r="B91" s="117" t="s">
        <v>222</v>
      </c>
      <c r="C91" s="24">
        <v>15455</v>
      </c>
      <c r="D91" s="25">
        <v>19455</v>
      </c>
      <c r="E91" s="26">
        <v>-57</v>
      </c>
      <c r="F91" s="24">
        <v>0</v>
      </c>
      <c r="G91" s="26">
        <v>0</v>
      </c>
      <c r="H91" s="24">
        <v>0</v>
      </c>
      <c r="I91" s="94">
        <v>0</v>
      </c>
      <c r="J91" s="116">
        <f>-3917+16250-16250+16250</f>
        <v>12333</v>
      </c>
      <c r="K91" s="59">
        <f>SUM(D91:J91)</f>
        <v>31731</v>
      </c>
      <c r="L91" s="16"/>
      <c r="M91" s="16"/>
    </row>
    <row r="92" spans="1:13" ht="12.75">
      <c r="A92" s="50"/>
      <c r="B92" s="117" t="s">
        <v>224</v>
      </c>
      <c r="C92" s="24">
        <v>30201</v>
      </c>
      <c r="D92" s="25">
        <v>25351</v>
      </c>
      <c r="E92" s="26">
        <v>-75</v>
      </c>
      <c r="F92" s="24">
        <v>0</v>
      </c>
      <c r="G92" s="26">
        <v>0</v>
      </c>
      <c r="H92" s="24">
        <v>0</v>
      </c>
      <c r="I92" s="94">
        <v>0</v>
      </c>
      <c r="J92" s="116">
        <f>104-67</f>
        <v>37</v>
      </c>
      <c r="K92" s="59">
        <f>SUM(D92:J92)</f>
        <v>25313</v>
      </c>
      <c r="L92" s="16"/>
      <c r="M92" s="16"/>
    </row>
    <row r="93" spans="1:13" ht="12.75">
      <c r="A93" s="50"/>
      <c r="B93" s="117" t="s">
        <v>225</v>
      </c>
      <c r="C93" s="24">
        <v>33966</v>
      </c>
      <c r="D93" s="25">
        <v>23566</v>
      </c>
      <c r="E93" s="26">
        <v>-69</v>
      </c>
      <c r="F93" s="24">
        <v>0</v>
      </c>
      <c r="G93" s="26">
        <v>0</v>
      </c>
      <c r="H93" s="24">
        <v>0</v>
      </c>
      <c r="I93" s="94">
        <v>11162</v>
      </c>
      <c r="J93" s="116">
        <v>-3686</v>
      </c>
      <c r="K93" s="59">
        <f>SUM(D93:J93)</f>
        <v>30973</v>
      </c>
      <c r="L93" s="16"/>
      <c r="M93" s="16"/>
    </row>
    <row r="94" spans="1:13" ht="12.75">
      <c r="A94" s="50"/>
      <c r="B94" s="117" t="s">
        <v>38</v>
      </c>
      <c r="C94" s="24">
        <v>13450</v>
      </c>
      <c r="D94" s="25">
        <v>13450</v>
      </c>
      <c r="E94" s="26">
        <v>-40</v>
      </c>
      <c r="F94" s="24">
        <v>0</v>
      </c>
      <c r="G94" s="26">
        <v>0</v>
      </c>
      <c r="H94" s="24">
        <v>0</v>
      </c>
      <c r="I94" s="94">
        <v>0</v>
      </c>
      <c r="J94" s="116">
        <v>0</v>
      </c>
      <c r="K94" s="59">
        <f t="shared" si="16"/>
        <v>13410</v>
      </c>
      <c r="L94" s="16"/>
      <c r="M94" s="16"/>
    </row>
    <row r="95" spans="1:13" ht="12.75">
      <c r="A95" s="50"/>
      <c r="B95" s="117" t="s">
        <v>39</v>
      </c>
      <c r="C95" s="24">
        <v>15331</v>
      </c>
      <c r="D95" s="25">
        <v>15331</v>
      </c>
      <c r="E95" s="26">
        <v>-45</v>
      </c>
      <c r="F95" s="24">
        <v>0</v>
      </c>
      <c r="G95" s="26">
        <v>0</v>
      </c>
      <c r="H95" s="24">
        <v>0</v>
      </c>
      <c r="I95" s="94">
        <v>0</v>
      </c>
      <c r="J95" s="116">
        <f>-3014+8</f>
        <v>-3006</v>
      </c>
      <c r="K95" s="59">
        <f t="shared" si="16"/>
        <v>12280</v>
      </c>
      <c r="L95" s="16"/>
      <c r="M95" s="16"/>
    </row>
    <row r="96" spans="1:13" ht="12.75">
      <c r="A96" s="50"/>
      <c r="B96" s="117" t="s">
        <v>198</v>
      </c>
      <c r="C96" s="24">
        <v>315443</v>
      </c>
      <c r="D96" s="25">
        <v>319443</v>
      </c>
      <c r="E96" s="26">
        <v>-941</v>
      </c>
      <c r="F96" s="24">
        <v>0</v>
      </c>
      <c r="G96" s="26">
        <v>1797</v>
      </c>
      <c r="H96" s="24">
        <v>0</v>
      </c>
      <c r="I96" s="94">
        <v>1549</v>
      </c>
      <c r="J96" s="116">
        <f>-7042-4999+830+151</f>
        <v>-11060</v>
      </c>
      <c r="K96" s="59">
        <f t="shared" si="16"/>
        <v>310788</v>
      </c>
      <c r="L96" s="16"/>
      <c r="M96" s="16"/>
    </row>
    <row r="97" spans="1:13" ht="12.75">
      <c r="A97" s="50"/>
      <c r="B97" s="117" t="s">
        <v>40</v>
      </c>
      <c r="C97" s="24">
        <v>64778</v>
      </c>
      <c r="D97" s="25">
        <v>55778</v>
      </c>
      <c r="E97" s="26">
        <v>-164</v>
      </c>
      <c r="F97" s="24">
        <v>0</v>
      </c>
      <c r="G97" s="26">
        <v>0</v>
      </c>
      <c r="H97" s="24">
        <v>0</v>
      </c>
      <c r="I97" s="94">
        <v>-18662</v>
      </c>
      <c r="J97" s="116">
        <f>-5928-196-450</f>
        <v>-6574</v>
      </c>
      <c r="K97" s="59">
        <f t="shared" si="16"/>
        <v>30378</v>
      </c>
      <c r="L97" s="16"/>
      <c r="M97" s="16"/>
    </row>
    <row r="98" spans="1:13" ht="13.5" thickBot="1">
      <c r="A98" s="50"/>
      <c r="B98" s="31" t="s">
        <v>185</v>
      </c>
      <c r="C98" s="24">
        <v>0</v>
      </c>
      <c r="D98" s="25">
        <v>0</v>
      </c>
      <c r="E98" s="26">
        <v>0</v>
      </c>
      <c r="F98" s="24">
        <v>0</v>
      </c>
      <c r="G98" s="26">
        <v>0</v>
      </c>
      <c r="H98" s="24">
        <v>0</v>
      </c>
      <c r="I98" s="94">
        <f>2407+124+548</f>
        <v>3079</v>
      </c>
      <c r="J98" s="116">
        <v>0</v>
      </c>
      <c r="K98" s="59">
        <f t="shared" si="16"/>
        <v>3079</v>
      </c>
      <c r="L98" s="16"/>
      <c r="M98" s="16"/>
    </row>
    <row r="99" spans="1:13" s="11" customFormat="1" ht="13.5" thickBot="1">
      <c r="A99" s="247"/>
      <c r="B99" s="37" t="s">
        <v>233</v>
      </c>
      <c r="C99" s="38">
        <f aca="true" t="shared" si="17" ref="C99:K99">SUM(C63:C98)</f>
        <v>1450512</v>
      </c>
      <c r="D99" s="38">
        <f t="shared" si="17"/>
        <v>1487375</v>
      </c>
      <c r="E99" s="38">
        <f t="shared" si="17"/>
        <v>-4387</v>
      </c>
      <c r="F99" s="38">
        <f t="shared" si="17"/>
        <v>0</v>
      </c>
      <c r="G99" s="38">
        <f t="shared" si="17"/>
        <v>113037</v>
      </c>
      <c r="H99" s="38">
        <f t="shared" si="17"/>
        <v>0</v>
      </c>
      <c r="I99" s="38">
        <f t="shared" si="17"/>
        <v>297794</v>
      </c>
      <c r="J99" s="38">
        <f>SUM(J63:J98)-1</f>
        <v>0</v>
      </c>
      <c r="K99" s="38">
        <f t="shared" si="17"/>
        <v>1893820</v>
      </c>
      <c r="L99" s="10"/>
      <c r="M99" s="10"/>
    </row>
    <row r="100" spans="1:11" ht="12.75">
      <c r="A100" s="49"/>
      <c r="B100" s="40"/>
      <c r="C100" s="24"/>
      <c r="D100" s="25"/>
      <c r="E100" s="26"/>
      <c r="F100" s="24"/>
      <c r="G100" s="26"/>
      <c r="H100" s="24"/>
      <c r="I100" s="94"/>
      <c r="J100" s="116"/>
      <c r="K100" s="25"/>
    </row>
    <row r="101" spans="1:11" ht="12.75">
      <c r="A101" s="49" t="s">
        <v>173</v>
      </c>
      <c r="B101" s="3" t="s">
        <v>42</v>
      </c>
      <c r="C101" s="24">
        <v>88565</v>
      </c>
      <c r="D101" s="25">
        <v>88565</v>
      </c>
      <c r="E101" s="26">
        <v>-261</v>
      </c>
      <c r="F101" s="24">
        <v>0</v>
      </c>
      <c r="G101" s="24">
        <v>0</v>
      </c>
      <c r="H101" s="24">
        <v>0</v>
      </c>
      <c r="I101" s="24">
        <v>0</v>
      </c>
      <c r="J101" s="116">
        <v>99</v>
      </c>
      <c r="K101" s="25">
        <f aca="true" t="shared" si="18" ref="K101:K106">SUM(D101:J101)</f>
        <v>88403</v>
      </c>
    </row>
    <row r="102" spans="1:11" ht="12.75">
      <c r="A102" s="49"/>
      <c r="B102" s="3" t="s">
        <v>43</v>
      </c>
      <c r="C102" s="24">
        <v>80211</v>
      </c>
      <c r="D102" s="25">
        <v>80211</v>
      </c>
      <c r="E102" s="26">
        <v>-237</v>
      </c>
      <c r="F102" s="24">
        <v>0</v>
      </c>
      <c r="G102" s="24">
        <v>0</v>
      </c>
      <c r="H102" s="24">
        <v>0</v>
      </c>
      <c r="I102" s="24">
        <v>0</v>
      </c>
      <c r="J102" s="116">
        <v>-99</v>
      </c>
      <c r="K102" s="25">
        <f t="shared" si="18"/>
        <v>79875</v>
      </c>
    </row>
    <row r="103" spans="1:11" ht="12.75">
      <c r="A103" s="49"/>
      <c r="B103" s="3" t="s">
        <v>44</v>
      </c>
      <c r="C103" s="24">
        <v>22299</v>
      </c>
      <c r="D103" s="25">
        <v>25579</v>
      </c>
      <c r="E103" s="26">
        <v>-75</v>
      </c>
      <c r="F103" s="24">
        <v>0</v>
      </c>
      <c r="G103" s="24">
        <v>0</v>
      </c>
      <c r="H103" s="24">
        <v>0</v>
      </c>
      <c r="I103" s="24">
        <v>0</v>
      </c>
      <c r="J103" s="116">
        <v>-5100</v>
      </c>
      <c r="K103" s="25">
        <f t="shared" si="18"/>
        <v>20404</v>
      </c>
    </row>
    <row r="104" spans="1:11" ht="12.75">
      <c r="A104" s="49"/>
      <c r="B104" s="3" t="s">
        <v>45</v>
      </c>
      <c r="C104" s="24">
        <v>38702</v>
      </c>
      <c r="D104" s="25">
        <v>38702</v>
      </c>
      <c r="E104" s="26">
        <v>-114</v>
      </c>
      <c r="F104" s="24">
        <v>0</v>
      </c>
      <c r="G104" s="24">
        <v>0</v>
      </c>
      <c r="H104" s="24">
        <v>0</v>
      </c>
      <c r="I104" s="24">
        <v>0</v>
      </c>
      <c r="J104" s="116">
        <v>0</v>
      </c>
      <c r="K104" s="25">
        <f t="shared" si="18"/>
        <v>38588</v>
      </c>
    </row>
    <row r="105" spans="1:11" ht="12.75">
      <c r="A105" s="49"/>
      <c r="B105" s="3" t="s">
        <v>199</v>
      </c>
      <c r="C105" s="24">
        <v>37784</v>
      </c>
      <c r="D105" s="25">
        <v>37784</v>
      </c>
      <c r="E105" s="26">
        <v>-111</v>
      </c>
      <c r="F105" s="24">
        <v>0</v>
      </c>
      <c r="G105" s="24">
        <v>0</v>
      </c>
      <c r="H105" s="24">
        <v>0</v>
      </c>
      <c r="I105" s="24">
        <v>0</v>
      </c>
      <c r="J105" s="116">
        <v>0</v>
      </c>
      <c r="K105" s="25">
        <f t="shared" si="18"/>
        <v>37673</v>
      </c>
    </row>
    <row r="106" spans="1:11" ht="13.5" thickBot="1">
      <c r="A106" s="49"/>
      <c r="B106" s="3" t="s">
        <v>46</v>
      </c>
      <c r="C106" s="24">
        <v>199610</v>
      </c>
      <c r="D106" s="25">
        <v>186160</v>
      </c>
      <c r="E106" s="26">
        <v>-549</v>
      </c>
      <c r="F106" s="24">
        <v>0</v>
      </c>
      <c r="G106" s="24">
        <v>0</v>
      </c>
      <c r="H106" s="24">
        <v>0</v>
      </c>
      <c r="I106" s="24">
        <v>0</v>
      </c>
      <c r="J106" s="116">
        <v>5100</v>
      </c>
      <c r="K106" s="25">
        <f t="shared" si="18"/>
        <v>190711</v>
      </c>
    </row>
    <row r="107" spans="1:11" s="11" customFormat="1" ht="13.5" thickBot="1">
      <c r="A107" s="247"/>
      <c r="B107" s="37" t="s">
        <v>234</v>
      </c>
      <c r="C107" s="38">
        <f>SUM(C101:C106)</f>
        <v>467171</v>
      </c>
      <c r="D107" s="38">
        <f aca="true" t="shared" si="19" ref="D107:K107">SUM(D101:D106)</f>
        <v>457001</v>
      </c>
      <c r="E107" s="38">
        <f t="shared" si="19"/>
        <v>-1347</v>
      </c>
      <c r="F107" s="38">
        <f t="shared" si="19"/>
        <v>0</v>
      </c>
      <c r="G107" s="38">
        <f t="shared" si="19"/>
        <v>0</v>
      </c>
      <c r="H107" s="38">
        <f t="shared" si="19"/>
        <v>0</v>
      </c>
      <c r="I107" s="270">
        <f t="shared" si="19"/>
        <v>0</v>
      </c>
      <c r="J107" s="38">
        <f t="shared" si="19"/>
        <v>0</v>
      </c>
      <c r="K107" s="39">
        <f t="shared" si="19"/>
        <v>455654</v>
      </c>
    </row>
    <row r="108" spans="1:11" ht="12.75">
      <c r="A108" s="41"/>
      <c r="B108" s="42"/>
      <c r="C108" s="24"/>
      <c r="D108" s="29"/>
      <c r="E108" s="31"/>
      <c r="F108" s="33"/>
      <c r="G108" s="31"/>
      <c r="H108" s="33"/>
      <c r="I108" s="93"/>
      <c r="J108" s="123"/>
      <c r="K108" s="25"/>
    </row>
    <row r="109" spans="1:11" ht="12.75">
      <c r="A109" s="41" t="s">
        <v>235</v>
      </c>
      <c r="B109" s="3" t="s">
        <v>226</v>
      </c>
      <c r="C109" s="24">
        <v>0</v>
      </c>
      <c r="D109" s="25">
        <v>57100</v>
      </c>
      <c r="E109" s="26">
        <v>-168</v>
      </c>
      <c r="F109" s="24">
        <v>0</v>
      </c>
      <c r="G109" s="26">
        <v>0</v>
      </c>
      <c r="H109" s="24">
        <v>0</v>
      </c>
      <c r="I109" s="26">
        <v>45000</v>
      </c>
      <c r="J109" s="24">
        <v>0</v>
      </c>
      <c r="K109" s="25">
        <f>SUM(D109:J109)</f>
        <v>101932</v>
      </c>
    </row>
    <row r="110" spans="1:11" ht="13.5" thickBot="1">
      <c r="A110" s="41"/>
      <c r="B110" s="3" t="s">
        <v>227</v>
      </c>
      <c r="C110" s="24">
        <v>0</v>
      </c>
      <c r="D110" s="25">
        <v>105000</v>
      </c>
      <c r="E110" s="26">
        <v>-310</v>
      </c>
      <c r="F110" s="24">
        <v>0</v>
      </c>
      <c r="G110" s="26">
        <v>0</v>
      </c>
      <c r="H110" s="269">
        <v>0</v>
      </c>
      <c r="I110" s="26">
        <v>0</v>
      </c>
      <c r="J110" s="269">
        <v>0</v>
      </c>
      <c r="K110" s="25">
        <f>SUM(D110:J110)</f>
        <v>104690</v>
      </c>
    </row>
    <row r="111" spans="1:11" s="11" customFormat="1" ht="13.5" thickBot="1">
      <c r="A111" s="247"/>
      <c r="B111" s="37" t="s">
        <v>279</v>
      </c>
      <c r="C111" s="38">
        <f>SUM(C109:C110)</f>
        <v>0</v>
      </c>
      <c r="D111" s="38">
        <f aca="true" t="shared" si="20" ref="D111:K111">SUM(D109:D110)</f>
        <v>162100</v>
      </c>
      <c r="E111" s="38">
        <f t="shared" si="20"/>
        <v>-478</v>
      </c>
      <c r="F111" s="38">
        <f t="shared" si="20"/>
        <v>0</v>
      </c>
      <c r="G111" s="38">
        <f t="shared" si="20"/>
        <v>0</v>
      </c>
      <c r="H111" s="38">
        <f t="shared" si="20"/>
        <v>0</v>
      </c>
      <c r="I111" s="38">
        <f t="shared" si="20"/>
        <v>45000</v>
      </c>
      <c r="J111" s="38">
        <f t="shared" si="20"/>
        <v>0</v>
      </c>
      <c r="K111" s="38">
        <f t="shared" si="20"/>
        <v>206622</v>
      </c>
    </row>
    <row r="112" spans="1:11" ht="12.75">
      <c r="A112" s="41"/>
      <c r="B112" s="42"/>
      <c r="C112" s="24"/>
      <c r="D112" s="29"/>
      <c r="E112" s="31"/>
      <c r="F112" s="24"/>
      <c r="G112" s="31"/>
      <c r="H112" s="33"/>
      <c r="I112" s="93"/>
      <c r="J112" s="123"/>
      <c r="K112" s="25"/>
    </row>
    <row r="113" spans="1:11" ht="13.5" thickBot="1">
      <c r="A113" s="41"/>
      <c r="B113" s="42"/>
      <c r="C113" s="24"/>
      <c r="D113" s="29"/>
      <c r="E113" s="31"/>
      <c r="F113" s="24"/>
      <c r="G113" s="31"/>
      <c r="H113" s="24"/>
      <c r="I113" s="93"/>
      <c r="J113" s="123"/>
      <c r="K113" s="25"/>
    </row>
    <row r="114" spans="1:11" s="256" customFormat="1" ht="13.5" thickBot="1">
      <c r="A114" s="43" t="s">
        <v>47</v>
      </c>
      <c r="B114" s="44" t="s">
        <v>164</v>
      </c>
      <c r="C114" s="38">
        <v>671379</v>
      </c>
      <c r="D114" s="38">
        <v>648379</v>
      </c>
      <c r="E114" s="218">
        <v>-1912</v>
      </c>
      <c r="F114" s="38">
        <v>0</v>
      </c>
      <c r="G114" s="218">
        <f>1380+4863+19367+5194+38245+55160+166259</f>
        <v>290468</v>
      </c>
      <c r="H114" s="38">
        <v>0</v>
      </c>
      <c r="I114" s="218">
        <f>-2000+300+25000+6400-29911+600+5400+13000+1400</f>
        <v>20189</v>
      </c>
      <c r="J114" s="38">
        <v>0</v>
      </c>
      <c r="K114" s="38">
        <f>SUM(D114:J114)</f>
        <v>957124</v>
      </c>
    </row>
    <row r="115" spans="1:11" s="256" customFormat="1" ht="12.75">
      <c r="A115" s="224"/>
      <c r="B115" s="225"/>
      <c r="C115" s="124"/>
      <c r="D115" s="96"/>
      <c r="E115" s="79"/>
      <c r="F115" s="124"/>
      <c r="G115" s="79"/>
      <c r="H115" s="124"/>
      <c r="I115" s="79"/>
      <c r="J115" s="124"/>
      <c r="K115" s="96"/>
    </row>
    <row r="116" spans="1:11" s="256" customFormat="1" ht="13.5" thickBot="1">
      <c r="A116" s="224"/>
      <c r="B116" s="225"/>
      <c r="C116" s="124"/>
      <c r="D116" s="96"/>
      <c r="E116" s="79"/>
      <c r="F116" s="124"/>
      <c r="G116" s="79"/>
      <c r="H116" s="124"/>
      <c r="I116" s="79"/>
      <c r="J116" s="124"/>
      <c r="K116" s="96"/>
    </row>
    <row r="117" spans="1:11" s="256" customFormat="1" ht="13.5" thickBot="1">
      <c r="A117" s="43" t="s">
        <v>268</v>
      </c>
      <c r="B117" s="44" t="s">
        <v>269</v>
      </c>
      <c r="C117" s="38">
        <v>0</v>
      </c>
      <c r="D117" s="39">
        <v>0</v>
      </c>
      <c r="E117" s="218">
        <v>0</v>
      </c>
      <c r="F117" s="38">
        <v>0</v>
      </c>
      <c r="G117" s="218">
        <v>0</v>
      </c>
      <c r="H117" s="38">
        <v>0</v>
      </c>
      <c r="I117" s="218">
        <v>0</v>
      </c>
      <c r="J117" s="38">
        <v>0</v>
      </c>
      <c r="K117" s="39">
        <v>0</v>
      </c>
    </row>
    <row r="118" spans="1:11" s="256" customFormat="1" ht="12.75">
      <c r="A118" s="224"/>
      <c r="B118" s="225"/>
      <c r="C118" s="124"/>
      <c r="D118" s="96"/>
      <c r="E118" s="79"/>
      <c r="F118" s="124"/>
      <c r="G118" s="79"/>
      <c r="H118" s="124"/>
      <c r="I118" s="79"/>
      <c r="J118" s="124"/>
      <c r="K118" s="96"/>
    </row>
    <row r="119" spans="1:11" s="22" customFormat="1" ht="13.5" thickBot="1">
      <c r="A119" s="224"/>
      <c r="B119" s="225"/>
      <c r="C119" s="116"/>
      <c r="D119" s="59"/>
      <c r="E119" s="94"/>
      <c r="F119" s="116"/>
      <c r="G119" s="94"/>
      <c r="H119" s="116"/>
      <c r="I119" s="94"/>
      <c r="J119" s="116"/>
      <c r="K119" s="96"/>
    </row>
    <row r="120" spans="1:11" s="10" customFormat="1" ht="13.5" thickBot="1">
      <c r="A120" s="43" t="s">
        <v>175</v>
      </c>
      <c r="B120" s="39" t="s">
        <v>59</v>
      </c>
      <c r="C120" s="38">
        <f>SUM(C61+C99+C107+C114+C117)</f>
        <v>3164228</v>
      </c>
      <c r="D120" s="38">
        <f aca="true" t="shared" si="21" ref="D120:I120">SUM(D61+D99+D107+D111+D114)</f>
        <v>3306269</v>
      </c>
      <c r="E120" s="38">
        <f t="shared" si="21"/>
        <v>-9749</v>
      </c>
      <c r="F120" s="38">
        <f t="shared" si="21"/>
        <v>0</v>
      </c>
      <c r="G120" s="38">
        <f t="shared" si="21"/>
        <v>403505</v>
      </c>
      <c r="H120" s="38">
        <f t="shared" si="21"/>
        <v>0</v>
      </c>
      <c r="I120" s="38">
        <f t="shared" si="21"/>
        <v>359522</v>
      </c>
      <c r="J120" s="38">
        <f>SUM(J61+J99+J107+J111+J114)</f>
        <v>0</v>
      </c>
      <c r="K120" s="38">
        <f>SUM(K61+K99+K107+K111+K114+K117)-1</f>
        <v>4059548</v>
      </c>
    </row>
    <row r="121" spans="1:11" s="31" customFormat="1" ht="12.75">
      <c r="A121" s="371"/>
      <c r="I121" s="93"/>
      <c r="J121" s="93"/>
      <c r="K121" s="26"/>
    </row>
    <row r="122" spans="1:11" s="31" customFormat="1" ht="12.75">
      <c r="A122" s="371"/>
      <c r="I122" s="93"/>
      <c r="J122" s="93"/>
      <c r="K122" s="26"/>
    </row>
    <row r="123" spans="1:11" s="31" customFormat="1" ht="12.75">
      <c r="A123" s="371"/>
      <c r="I123" s="93"/>
      <c r="J123" s="93"/>
      <c r="K123" s="26"/>
    </row>
    <row r="124" spans="1:11" s="31" customFormat="1" ht="12.75">
      <c r="A124" s="371"/>
      <c r="I124" s="93"/>
      <c r="J124" s="93"/>
      <c r="K124" s="26"/>
    </row>
  </sheetData>
  <sheetProtection/>
  <printOptions/>
  <pageMargins left="0.7" right="0.7" top="0.75" bottom="0.75" header="0.3" footer="0.3"/>
  <pageSetup fitToHeight="2" fitToWidth="1" horizontalDpi="600" verticalDpi="600" orientation="landscape" scale="53" r:id="rId1"/>
  <headerFooter>
    <oddHeader>&amp;CFY 2009/2011
PROCUREMENT, DEFENSE-WIDE
As of 31 March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H59"/>
  <sheetViews>
    <sheetView zoomScalePageLayoutView="0" workbookViewId="0" topLeftCell="A1">
      <pane xSplit="5" ySplit="12" topLeftCell="F45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E58" sqref="E58"/>
    </sheetView>
  </sheetViews>
  <sheetFormatPr defaultColWidth="9.140625" defaultRowHeight="12.75"/>
  <cols>
    <col min="1" max="1" width="6.8515625" style="137" customWidth="1"/>
    <col min="2" max="2" width="13.57421875" style="137" customWidth="1"/>
    <col min="3" max="3" width="8.28125" style="137" customWidth="1"/>
    <col min="4" max="4" width="9.140625" style="137" customWidth="1"/>
    <col min="5" max="5" width="54.421875" style="150" customWidth="1"/>
    <col min="6" max="6" width="16.28125" style="135" customWidth="1"/>
    <col min="7" max="7" width="12.8515625" style="135" customWidth="1"/>
    <col min="8" max="8" width="14.00390625" style="135" customWidth="1"/>
    <col min="9" max="9" width="13.8515625" style="135" customWidth="1"/>
    <col min="10" max="10" width="11.7109375" style="184" customWidth="1"/>
    <col min="11" max="11" width="2.00390625" style="135" customWidth="1"/>
    <col min="12" max="12" width="11.8515625" style="135" customWidth="1"/>
    <col min="13" max="13" width="13.140625" style="135" customWidth="1"/>
    <col min="14" max="14" width="10.7109375" style="135" customWidth="1"/>
    <col min="15" max="15" width="2.00390625" style="135" customWidth="1"/>
    <col min="16" max="16" width="15.7109375" style="135" customWidth="1"/>
    <col min="17" max="17" width="15.57421875" style="135" customWidth="1"/>
    <col min="18" max="18" width="16.00390625" style="135" customWidth="1"/>
    <col min="19" max="19" width="12.28125" style="135" customWidth="1"/>
    <col min="20" max="20" width="13.7109375" style="135" customWidth="1"/>
    <col min="21" max="21" width="15.8515625" style="135" customWidth="1"/>
    <col min="22" max="22" width="13.140625" style="135" customWidth="1"/>
    <col min="23" max="24" width="15.140625" style="135" customWidth="1"/>
    <col min="25" max="26" width="14.28125" style="135" customWidth="1"/>
    <col min="27" max="27" width="16.140625" style="135" customWidth="1"/>
    <col min="28" max="35" width="15.421875" style="135" customWidth="1"/>
    <col min="36" max="36" width="16.00390625" style="135" customWidth="1"/>
    <col min="37" max="37" width="2.00390625" style="135" customWidth="1"/>
    <col min="38" max="38" width="13.8515625" style="184" customWidth="1"/>
    <col min="39" max="39" width="12.00390625" style="135" customWidth="1"/>
    <col min="40" max="40" width="16.140625" style="135" customWidth="1"/>
    <col min="41" max="41" width="3.28125" style="135" customWidth="1"/>
    <col min="42" max="42" width="9.140625" style="150" customWidth="1"/>
    <col min="43" max="43" width="9.140625" style="137" customWidth="1"/>
    <col min="44" max="16384" width="9.140625" style="150" customWidth="1"/>
  </cols>
  <sheetData>
    <row r="1" spans="1:60" s="7" customFormat="1" ht="12.75">
      <c r="A1" s="7" t="s">
        <v>207</v>
      </c>
      <c r="B1" s="6"/>
      <c r="D1" s="6"/>
      <c r="F1" s="8"/>
      <c r="G1" s="8"/>
      <c r="H1" s="8"/>
      <c r="I1" s="17"/>
      <c r="J1" s="1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17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17"/>
      <c r="BC1" s="17"/>
      <c r="BD1" s="17"/>
      <c r="BE1" s="8"/>
      <c r="BF1" s="8"/>
      <c r="BG1" s="126"/>
      <c r="BH1" s="9"/>
    </row>
    <row r="2" spans="2:60" s="7" customFormat="1" ht="12.75">
      <c r="B2" s="6"/>
      <c r="D2" s="6"/>
      <c r="F2" s="8"/>
      <c r="G2" s="8"/>
      <c r="H2" s="8"/>
      <c r="I2" s="17"/>
      <c r="J2" s="1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7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17"/>
      <c r="BC2" s="17"/>
      <c r="BD2" s="17"/>
      <c r="BE2" s="8"/>
      <c r="BF2" s="8"/>
      <c r="BG2" s="126"/>
      <c r="BH2" s="9"/>
    </row>
    <row r="3" spans="1:55" s="7" customFormat="1" ht="12.75">
      <c r="A3" s="7" t="s">
        <v>284</v>
      </c>
      <c r="B3" s="6"/>
      <c r="D3" s="6"/>
      <c r="F3" s="8"/>
      <c r="G3" s="8"/>
      <c r="H3" s="8"/>
      <c r="I3" s="17"/>
      <c r="J3" s="1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17"/>
      <c r="Y3" s="17"/>
      <c r="Z3" s="17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17"/>
      <c r="AX3" s="17"/>
      <c r="AY3" s="17"/>
      <c r="AZ3" s="8"/>
      <c r="BA3" s="8"/>
      <c r="BB3" s="126"/>
      <c r="BC3" s="9"/>
    </row>
    <row r="4" spans="2:60" s="7" customFormat="1" ht="13.5" thickBot="1">
      <c r="B4" s="6"/>
      <c r="D4" s="6"/>
      <c r="F4" s="8"/>
      <c r="G4" s="8"/>
      <c r="H4" s="8"/>
      <c r="I4" s="17"/>
      <c r="J4" s="17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7"/>
      <c r="AB4" s="8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8"/>
      <c r="BA4" s="8"/>
      <c r="BB4" s="17"/>
      <c r="BC4" s="17"/>
      <c r="BD4" s="17"/>
      <c r="BE4" s="8"/>
      <c r="BF4" s="8"/>
      <c r="BG4" s="126"/>
      <c r="BH4" s="9"/>
    </row>
    <row r="5" spans="1:43" s="136" customFormat="1" ht="13.5" thickBot="1">
      <c r="A5" s="115" t="s">
        <v>177</v>
      </c>
      <c r="B5" s="138"/>
      <c r="C5" s="139"/>
      <c r="D5" s="138"/>
      <c r="E5" s="139"/>
      <c r="F5" s="140"/>
      <c r="G5" s="140"/>
      <c r="H5" s="140"/>
      <c r="I5" s="140"/>
      <c r="J5" s="141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1"/>
      <c r="AM5" s="140"/>
      <c r="AN5" s="142"/>
      <c r="AO5" s="134"/>
      <c r="AQ5" s="137"/>
    </row>
    <row r="6" spans="1:40" ht="12.75">
      <c r="A6" s="143"/>
      <c r="B6" s="138"/>
      <c r="C6" s="138"/>
      <c r="D6" s="138"/>
      <c r="E6" s="144"/>
      <c r="F6" s="145"/>
      <c r="G6" s="145"/>
      <c r="H6" s="145"/>
      <c r="I6" s="145"/>
      <c r="J6" s="146"/>
      <c r="K6" s="145"/>
      <c r="L6" s="145"/>
      <c r="M6" s="145"/>
      <c r="N6" s="145"/>
      <c r="O6" s="145"/>
      <c r="P6" s="145"/>
      <c r="Q6" s="145"/>
      <c r="R6" s="145"/>
      <c r="S6" s="147" t="s">
        <v>152</v>
      </c>
      <c r="T6" s="147" t="s">
        <v>152</v>
      </c>
      <c r="U6" s="145"/>
      <c r="V6" s="147" t="s">
        <v>152</v>
      </c>
      <c r="W6" s="147" t="s">
        <v>152</v>
      </c>
      <c r="X6" s="147"/>
      <c r="Y6" s="147"/>
      <c r="Z6" s="147"/>
      <c r="AA6" s="147" t="s">
        <v>152</v>
      </c>
      <c r="AB6" s="147" t="s">
        <v>152</v>
      </c>
      <c r="AC6" s="147" t="s">
        <v>152</v>
      </c>
      <c r="AD6" s="147"/>
      <c r="AE6" s="147"/>
      <c r="AF6" s="147"/>
      <c r="AG6" s="147"/>
      <c r="AH6" s="147" t="s">
        <v>152</v>
      </c>
      <c r="AI6" s="147" t="s">
        <v>152</v>
      </c>
      <c r="AJ6" s="145"/>
      <c r="AK6" s="148"/>
      <c r="AL6" s="146"/>
      <c r="AM6" s="147" t="s">
        <v>152</v>
      </c>
      <c r="AN6" s="149"/>
    </row>
    <row r="7" spans="1:43" s="158" customFormat="1" ht="12.75">
      <c r="A7" s="151"/>
      <c r="B7" s="152"/>
      <c r="C7" s="152"/>
      <c r="D7" s="152"/>
      <c r="E7" s="152"/>
      <c r="F7" s="153"/>
      <c r="G7" s="153"/>
      <c r="H7" s="153" t="s">
        <v>144</v>
      </c>
      <c r="I7" s="153" t="s">
        <v>152</v>
      </c>
      <c r="J7" s="154" t="s">
        <v>145</v>
      </c>
      <c r="K7" s="153"/>
      <c r="L7" s="153"/>
      <c r="M7" s="153"/>
      <c r="N7" s="153" t="s">
        <v>146</v>
      </c>
      <c r="O7" s="153"/>
      <c r="P7" s="153" t="s">
        <v>147</v>
      </c>
      <c r="Q7" s="153" t="s">
        <v>148</v>
      </c>
      <c r="R7" s="153" t="s">
        <v>149</v>
      </c>
      <c r="S7" s="153" t="s">
        <v>150</v>
      </c>
      <c r="T7" s="153" t="s">
        <v>150</v>
      </c>
      <c r="U7" s="153" t="s">
        <v>153</v>
      </c>
      <c r="V7" s="153" t="s">
        <v>150</v>
      </c>
      <c r="W7" s="153" t="s">
        <v>150</v>
      </c>
      <c r="X7" s="153"/>
      <c r="Y7" s="153"/>
      <c r="Z7" s="153"/>
      <c r="AA7" s="153" t="s">
        <v>150</v>
      </c>
      <c r="AB7" s="153" t="s">
        <v>150</v>
      </c>
      <c r="AC7" s="153" t="s">
        <v>150</v>
      </c>
      <c r="AD7" s="153"/>
      <c r="AE7" s="153"/>
      <c r="AF7" s="153"/>
      <c r="AG7" s="153"/>
      <c r="AH7" s="153" t="s">
        <v>150</v>
      </c>
      <c r="AI7" s="153" t="s">
        <v>150</v>
      </c>
      <c r="AJ7" s="153" t="s">
        <v>162</v>
      </c>
      <c r="AK7" s="155"/>
      <c r="AL7" s="154" t="s">
        <v>157</v>
      </c>
      <c r="AM7" s="153" t="s">
        <v>150</v>
      </c>
      <c r="AN7" s="156"/>
      <c r="AO7" s="157"/>
      <c r="AQ7" s="152"/>
    </row>
    <row r="8" spans="1:40" ht="13.5" thickBot="1">
      <c r="A8" s="159"/>
      <c r="B8" s="160"/>
      <c r="C8" s="160"/>
      <c r="D8" s="160"/>
      <c r="E8" s="160"/>
      <c r="F8" s="161"/>
      <c r="G8" s="161"/>
      <c r="H8" s="161"/>
      <c r="I8" s="161" t="s">
        <v>151</v>
      </c>
      <c r="J8" s="162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3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4"/>
      <c r="AL8" s="165"/>
      <c r="AM8" s="163"/>
      <c r="AN8" s="166"/>
    </row>
    <row r="9" spans="1:41" ht="13.5">
      <c r="A9" s="151"/>
      <c r="B9" s="152"/>
      <c r="C9" s="152"/>
      <c r="D9" s="152"/>
      <c r="E9" s="152"/>
      <c r="F9" s="153"/>
      <c r="G9" s="153"/>
      <c r="H9" s="153"/>
      <c r="I9" s="153"/>
      <c r="J9" s="154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 t="s">
        <v>51</v>
      </c>
      <c r="V9" s="153"/>
      <c r="W9" s="153" t="s">
        <v>158</v>
      </c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 t="s">
        <v>69</v>
      </c>
      <c r="AJ9" s="153" t="s">
        <v>70</v>
      </c>
      <c r="AK9" s="155"/>
      <c r="AL9" s="167"/>
      <c r="AM9" s="132"/>
      <c r="AN9" s="168" t="s">
        <v>180</v>
      </c>
      <c r="AO9" s="133"/>
    </row>
    <row r="10" spans="1:40" ht="12.75">
      <c r="A10" s="151"/>
      <c r="B10" s="152"/>
      <c r="C10" s="152"/>
      <c r="D10" s="152"/>
      <c r="E10" s="152"/>
      <c r="F10" s="153" t="s">
        <v>208</v>
      </c>
      <c r="G10" s="153" t="s">
        <v>51</v>
      </c>
      <c r="H10" s="153"/>
      <c r="I10" s="153" t="s">
        <v>71</v>
      </c>
      <c r="J10" s="169" t="s">
        <v>72</v>
      </c>
      <c r="K10" s="153"/>
      <c r="L10" s="153" t="s">
        <v>73</v>
      </c>
      <c r="M10" s="153" t="s">
        <v>74</v>
      </c>
      <c r="N10" s="169" t="s">
        <v>75</v>
      </c>
      <c r="O10" s="153"/>
      <c r="P10" s="153" t="s">
        <v>208</v>
      </c>
      <c r="Q10" s="153" t="s">
        <v>76</v>
      </c>
      <c r="R10" s="153" t="s">
        <v>77</v>
      </c>
      <c r="S10" s="153" t="s">
        <v>78</v>
      </c>
      <c r="T10" s="153" t="s">
        <v>160</v>
      </c>
      <c r="U10" s="153" t="s">
        <v>79</v>
      </c>
      <c r="V10" s="153" t="s">
        <v>80</v>
      </c>
      <c r="W10" s="153" t="s">
        <v>71</v>
      </c>
      <c r="X10" s="154" t="s">
        <v>160</v>
      </c>
      <c r="Y10" s="154" t="s">
        <v>160</v>
      </c>
      <c r="Z10" s="154" t="s">
        <v>160</v>
      </c>
      <c r="AA10" s="153" t="s">
        <v>229</v>
      </c>
      <c r="AB10" s="153" t="s">
        <v>249</v>
      </c>
      <c r="AC10" s="153" t="s">
        <v>252</v>
      </c>
      <c r="AD10" s="153" t="s">
        <v>250</v>
      </c>
      <c r="AE10" s="153" t="s">
        <v>251</v>
      </c>
      <c r="AF10" s="153" t="s">
        <v>257</v>
      </c>
      <c r="AG10" s="153" t="s">
        <v>258</v>
      </c>
      <c r="AH10" s="153" t="s">
        <v>259</v>
      </c>
      <c r="AI10" s="153" t="s">
        <v>81</v>
      </c>
      <c r="AJ10" s="153" t="s">
        <v>82</v>
      </c>
      <c r="AK10" s="155"/>
      <c r="AL10" s="154" t="s">
        <v>156</v>
      </c>
      <c r="AM10" s="153" t="s">
        <v>154</v>
      </c>
      <c r="AN10" s="170" t="s">
        <v>181</v>
      </c>
    </row>
    <row r="11" spans="1:40" ht="12.75">
      <c r="A11" s="151"/>
      <c r="B11" s="152"/>
      <c r="C11" s="152" t="s">
        <v>83</v>
      </c>
      <c r="D11" s="152" t="s">
        <v>84</v>
      </c>
      <c r="E11" s="152"/>
      <c r="F11" s="153" t="s">
        <v>85</v>
      </c>
      <c r="G11" s="153" t="s">
        <v>79</v>
      </c>
      <c r="H11" s="153" t="s">
        <v>159</v>
      </c>
      <c r="I11" s="153" t="s">
        <v>86</v>
      </c>
      <c r="J11" s="169" t="s">
        <v>75</v>
      </c>
      <c r="K11" s="153"/>
      <c r="L11" s="153" t="s">
        <v>87</v>
      </c>
      <c r="M11" s="153" t="s">
        <v>88</v>
      </c>
      <c r="N11" s="169" t="s">
        <v>70</v>
      </c>
      <c r="O11" s="153"/>
      <c r="P11" s="153" t="s">
        <v>85</v>
      </c>
      <c r="Q11" s="153" t="s">
        <v>89</v>
      </c>
      <c r="R11" s="153" t="s">
        <v>90</v>
      </c>
      <c r="S11" s="153" t="s">
        <v>91</v>
      </c>
      <c r="T11" s="153" t="s">
        <v>92</v>
      </c>
      <c r="U11" s="153" t="s">
        <v>93</v>
      </c>
      <c r="V11" s="153" t="s">
        <v>94</v>
      </c>
      <c r="W11" s="153" t="s">
        <v>86</v>
      </c>
      <c r="X11" s="154" t="s">
        <v>200</v>
      </c>
      <c r="Y11" s="154" t="s">
        <v>200</v>
      </c>
      <c r="Z11" s="154" t="s">
        <v>200</v>
      </c>
      <c r="AA11" s="153" t="s">
        <v>161</v>
      </c>
      <c r="AB11" s="153" t="s">
        <v>161</v>
      </c>
      <c r="AC11" s="153" t="s">
        <v>161</v>
      </c>
      <c r="AD11" s="153" t="s">
        <v>161</v>
      </c>
      <c r="AE11" s="153" t="s">
        <v>161</v>
      </c>
      <c r="AF11" s="153" t="s">
        <v>161</v>
      </c>
      <c r="AG11" s="153" t="s">
        <v>161</v>
      </c>
      <c r="AH11" s="153" t="s">
        <v>161</v>
      </c>
      <c r="AI11" s="153" t="s">
        <v>95</v>
      </c>
      <c r="AJ11" s="153" t="s">
        <v>163</v>
      </c>
      <c r="AK11" s="155"/>
      <c r="AL11" s="154" t="s">
        <v>105</v>
      </c>
      <c r="AM11" s="153" t="s">
        <v>143</v>
      </c>
      <c r="AN11" s="170" t="s">
        <v>95</v>
      </c>
    </row>
    <row r="12" spans="1:42" ht="13.5" thickBot="1">
      <c r="A12" s="159" t="s">
        <v>0</v>
      </c>
      <c r="B12" s="160" t="s">
        <v>111</v>
      </c>
      <c r="C12" s="160" t="s">
        <v>96</v>
      </c>
      <c r="D12" s="160" t="s">
        <v>97</v>
      </c>
      <c r="E12" s="160" t="s">
        <v>98</v>
      </c>
      <c r="F12" s="161" t="s">
        <v>99</v>
      </c>
      <c r="G12" s="161" t="s">
        <v>100</v>
      </c>
      <c r="H12" s="161" t="s">
        <v>51</v>
      </c>
      <c r="I12" s="161" t="s">
        <v>101</v>
      </c>
      <c r="J12" s="171" t="s">
        <v>102</v>
      </c>
      <c r="K12" s="161"/>
      <c r="L12" s="161" t="s">
        <v>103</v>
      </c>
      <c r="M12" s="161" t="s">
        <v>104</v>
      </c>
      <c r="N12" s="171" t="s">
        <v>105</v>
      </c>
      <c r="O12" s="161"/>
      <c r="P12" s="161" t="s">
        <v>99</v>
      </c>
      <c r="Q12" s="161" t="s">
        <v>106</v>
      </c>
      <c r="R12" s="161" t="s">
        <v>78</v>
      </c>
      <c r="S12" s="161" t="s">
        <v>107</v>
      </c>
      <c r="T12" s="161" t="s">
        <v>108</v>
      </c>
      <c r="U12" s="161" t="s">
        <v>109</v>
      </c>
      <c r="V12" s="161" t="s">
        <v>78</v>
      </c>
      <c r="W12" s="161" t="s">
        <v>101</v>
      </c>
      <c r="X12" s="162" t="s">
        <v>202</v>
      </c>
      <c r="Y12" s="162" t="s">
        <v>261</v>
      </c>
      <c r="Z12" s="162" t="s">
        <v>261</v>
      </c>
      <c r="AA12" s="161" t="s">
        <v>95</v>
      </c>
      <c r="AB12" s="161" t="s">
        <v>95</v>
      </c>
      <c r="AC12" s="161" t="s">
        <v>182</v>
      </c>
      <c r="AD12" s="161" t="s">
        <v>95</v>
      </c>
      <c r="AE12" s="161" t="s">
        <v>95</v>
      </c>
      <c r="AF12" s="161" t="s">
        <v>95</v>
      </c>
      <c r="AG12" s="161" t="s">
        <v>95</v>
      </c>
      <c r="AH12" s="161" t="s">
        <v>95</v>
      </c>
      <c r="AI12" s="161" t="s">
        <v>110</v>
      </c>
      <c r="AJ12" s="161" t="s">
        <v>155</v>
      </c>
      <c r="AK12" s="164"/>
      <c r="AL12" s="162" t="s">
        <v>155</v>
      </c>
      <c r="AM12" s="161" t="s">
        <v>193</v>
      </c>
      <c r="AN12" s="172" t="s">
        <v>110</v>
      </c>
      <c r="AP12" s="134" t="s">
        <v>194</v>
      </c>
    </row>
    <row r="13" spans="1:43" ht="12.75">
      <c r="A13" s="151"/>
      <c r="B13" s="152"/>
      <c r="C13" s="152"/>
      <c r="D13" s="152"/>
      <c r="E13" s="158"/>
      <c r="F13" s="157"/>
      <c r="G13" s="157"/>
      <c r="H13" s="157"/>
      <c r="I13" s="157"/>
      <c r="J13" s="173"/>
      <c r="K13" s="157"/>
      <c r="L13" s="157"/>
      <c r="M13" s="157"/>
      <c r="N13" s="173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5"/>
      <c r="AL13" s="167"/>
      <c r="AM13" s="157"/>
      <c r="AN13" s="156"/>
      <c r="AP13" s="137" t="s">
        <v>155</v>
      </c>
      <c r="AQ13" s="137">
        <v>1002</v>
      </c>
    </row>
    <row r="14" spans="1:43" s="20" customFormat="1" ht="12.75">
      <c r="A14" s="130" t="s">
        <v>1</v>
      </c>
      <c r="B14" s="81">
        <v>1</v>
      </c>
      <c r="C14" s="82" t="s">
        <v>30</v>
      </c>
      <c r="D14" s="89" t="s">
        <v>216</v>
      </c>
      <c r="E14" s="90" t="s">
        <v>286</v>
      </c>
      <c r="F14" s="83">
        <f>SUM('FY 09-11 DD 1416 Tracker-Total'!F66)</f>
        <v>268845</v>
      </c>
      <c r="G14" s="83">
        <f>SUM('FY 09-11 DD 1416 Tracker-Total'!G66)</f>
        <v>0</v>
      </c>
      <c r="H14" s="83">
        <f>SUM(F14:G14)</f>
        <v>268845</v>
      </c>
      <c r="I14" s="83">
        <f>SUM('FY 09-11 DD 1416 Tracker-Total'!I66)</f>
        <v>0</v>
      </c>
      <c r="J14" s="84">
        <f aca="true" t="shared" si="0" ref="J14:J19">SUM(H14:I14)</f>
        <v>268845</v>
      </c>
      <c r="K14" s="83"/>
      <c r="L14" s="83">
        <v>0</v>
      </c>
      <c r="M14" s="83">
        <f>SUM('FY 09-11 DD 1416 Tracker-Total'!M66)</f>
        <v>-882</v>
      </c>
      <c r="N14" s="84">
        <f aca="true" t="shared" si="1" ref="N14:N19">SUM(J14:M14)</f>
        <v>267963</v>
      </c>
      <c r="O14" s="83"/>
      <c r="P14" s="85">
        <f aca="true" t="shared" si="2" ref="P14:P19">SUM(F14)</f>
        <v>268845</v>
      </c>
      <c r="Q14" s="85">
        <f>SUM(J14)</f>
        <v>268845</v>
      </c>
      <c r="R14" s="85">
        <f>SUM(L14+M14)</f>
        <v>-882</v>
      </c>
      <c r="S14" s="85">
        <v>0</v>
      </c>
      <c r="T14" s="85">
        <f>SUM('FY 09-11 DD 1416 Tracker-Total'!X66)</f>
        <v>0</v>
      </c>
      <c r="U14" s="85">
        <f>SUM(Q14:T14)</f>
        <v>267963</v>
      </c>
      <c r="V14" s="83">
        <v>0</v>
      </c>
      <c r="W14" s="83">
        <v>0</v>
      </c>
      <c r="X14" s="83">
        <v>0</v>
      </c>
      <c r="Y14" s="349">
        <f>63059-63059</f>
        <v>0</v>
      </c>
      <c r="Z14" s="83">
        <v>0</v>
      </c>
      <c r="AA14" s="83">
        <f>SUM('FY 09-11 DD 1416 Tracker-Total'!AA66)</f>
        <v>0</v>
      </c>
      <c r="AB14" s="83">
        <v>0</v>
      </c>
      <c r="AC14" s="83">
        <v>0</v>
      </c>
      <c r="AD14" s="83">
        <v>0</v>
      </c>
      <c r="AE14" s="83">
        <v>0</v>
      </c>
      <c r="AF14" s="83">
        <v>-29911</v>
      </c>
      <c r="AG14" s="83">
        <v>0</v>
      </c>
      <c r="AH14" s="83">
        <v>0</v>
      </c>
      <c r="AI14" s="85">
        <f>SUM(AM14-AL14)+63059</f>
        <v>63059</v>
      </c>
      <c r="AJ14" s="85">
        <f aca="true" t="shared" si="3" ref="AJ14:AJ19">SUM(U14:AI14)</f>
        <v>301111</v>
      </c>
      <c r="AK14" s="121"/>
      <c r="AL14" s="83">
        <f>SUM('FY 09-11 DD 1416 Tracker-Total'!AX66)</f>
        <v>301111</v>
      </c>
      <c r="AM14" s="83">
        <f>SUM('FY 09-11 DD 1416 Tracker-Total'!AY66)</f>
        <v>301111</v>
      </c>
      <c r="AN14" s="86">
        <f aca="true" t="shared" si="4" ref="AN14:AN19">SUM(AM14-AL14)</f>
        <v>0</v>
      </c>
      <c r="AO14" s="19"/>
      <c r="AP14" s="20" t="s">
        <v>186</v>
      </c>
      <c r="AQ14" s="125" t="s">
        <v>186</v>
      </c>
    </row>
    <row r="15" spans="1:43" s="14" customFormat="1" ht="12.75">
      <c r="A15" s="87"/>
      <c r="B15" s="81">
        <v>1</v>
      </c>
      <c r="C15" s="82" t="s">
        <v>30</v>
      </c>
      <c r="D15" s="89" t="s">
        <v>131</v>
      </c>
      <c r="E15" s="90" t="s">
        <v>286</v>
      </c>
      <c r="F15" s="85">
        <f>SUM('FY 09-11 DD 1416 Tracker-Total'!F67)</f>
        <v>55000</v>
      </c>
      <c r="G15" s="83">
        <f>SUM('FY 09-11 DD 1416 Tracker-Total'!G67)</f>
        <v>-25000</v>
      </c>
      <c r="H15" s="85">
        <f>SUM(F15:G15)</f>
        <v>30000</v>
      </c>
      <c r="I15" s="83">
        <f>SUM('FY 09-11 DD 1416 Tracker-Total'!I67)</f>
        <v>0</v>
      </c>
      <c r="J15" s="84">
        <f t="shared" si="0"/>
        <v>30000</v>
      </c>
      <c r="K15" s="85"/>
      <c r="L15" s="85">
        <v>0</v>
      </c>
      <c r="M15" s="83">
        <f>SUM('FY 09-11 DD 1416 Tracker-Total'!M67)</f>
        <v>0</v>
      </c>
      <c r="N15" s="84">
        <f t="shared" si="1"/>
        <v>30000</v>
      </c>
      <c r="O15" s="85"/>
      <c r="P15" s="85">
        <f t="shared" si="2"/>
        <v>55000</v>
      </c>
      <c r="Q15" s="85">
        <f>SUM(J15)</f>
        <v>30000</v>
      </c>
      <c r="R15" s="85">
        <f>SUM(L15+M15)</f>
        <v>0</v>
      </c>
      <c r="S15" s="85">
        <v>0</v>
      </c>
      <c r="T15" s="85">
        <f>SUM('FY 09-11 DD 1416 Tracker-Total'!X67)</f>
        <v>55160</v>
      </c>
      <c r="U15" s="85">
        <f>SUM(Q15:T15)</f>
        <v>85160</v>
      </c>
      <c r="V15" s="85">
        <v>0</v>
      </c>
      <c r="W15" s="85">
        <v>0</v>
      </c>
      <c r="X15" s="83">
        <v>0</v>
      </c>
      <c r="Y15" s="83">
        <v>0</v>
      </c>
      <c r="Z15" s="83">
        <v>0</v>
      </c>
      <c r="AA15" s="83">
        <f>SUM('FY 09-11 DD 1416 Tracker-Total'!AA67)</f>
        <v>0</v>
      </c>
      <c r="AB15" s="85">
        <v>0</v>
      </c>
      <c r="AC15" s="85">
        <v>0</v>
      </c>
      <c r="AD15" s="85">
        <v>0</v>
      </c>
      <c r="AE15" s="85">
        <v>0</v>
      </c>
      <c r="AF15" s="85">
        <v>0</v>
      </c>
      <c r="AG15" s="85">
        <v>0</v>
      </c>
      <c r="AH15" s="85">
        <v>0</v>
      </c>
      <c r="AI15" s="85">
        <f>SUM('FY 09-11 DD 1416 Tracker-Total'!AU67)</f>
        <v>0</v>
      </c>
      <c r="AJ15" s="85">
        <f t="shared" si="3"/>
        <v>85160</v>
      </c>
      <c r="AK15" s="121"/>
      <c r="AL15" s="83">
        <f>SUM('FY 09-11 DD 1416 Tracker-Total'!AX67)</f>
        <v>85159</v>
      </c>
      <c r="AM15" s="83">
        <f>SUM('FY 09-11 DD 1416 Tracker-Total'!AY67)</f>
        <v>85159</v>
      </c>
      <c r="AN15" s="86">
        <f t="shared" si="4"/>
        <v>0</v>
      </c>
      <c r="AO15" s="15"/>
      <c r="AP15" s="20" t="s">
        <v>186</v>
      </c>
      <c r="AQ15" s="125" t="s">
        <v>186</v>
      </c>
    </row>
    <row r="16" spans="1:43" s="14" customFormat="1" ht="12.75">
      <c r="A16" s="87"/>
      <c r="B16" s="81">
        <v>1</v>
      </c>
      <c r="C16" s="82" t="s">
        <v>30</v>
      </c>
      <c r="D16" s="89" t="s">
        <v>253</v>
      </c>
      <c r="E16" s="90" t="s">
        <v>286</v>
      </c>
      <c r="F16" s="85">
        <v>0</v>
      </c>
      <c r="G16" s="83">
        <v>0</v>
      </c>
      <c r="H16" s="85">
        <v>0</v>
      </c>
      <c r="I16" s="83">
        <v>0</v>
      </c>
      <c r="J16" s="84">
        <f t="shared" si="0"/>
        <v>0</v>
      </c>
      <c r="K16" s="85"/>
      <c r="L16" s="85">
        <v>0</v>
      </c>
      <c r="M16" s="83">
        <v>0</v>
      </c>
      <c r="N16" s="84">
        <f t="shared" si="1"/>
        <v>0</v>
      </c>
      <c r="O16" s="85"/>
      <c r="P16" s="85">
        <f t="shared" si="2"/>
        <v>0</v>
      </c>
      <c r="Q16" s="85">
        <v>0</v>
      </c>
      <c r="R16" s="85">
        <v>0</v>
      </c>
      <c r="S16" s="85">
        <v>0</v>
      </c>
      <c r="T16" s="85">
        <v>0</v>
      </c>
      <c r="U16" s="85">
        <v>0</v>
      </c>
      <c r="V16" s="85">
        <v>0</v>
      </c>
      <c r="W16" s="85">
        <v>0</v>
      </c>
      <c r="X16" s="83">
        <v>0</v>
      </c>
      <c r="Y16" s="349">
        <f>103200-103200</f>
        <v>0</v>
      </c>
      <c r="Z16" s="83">
        <v>0</v>
      </c>
      <c r="AA16" s="83">
        <v>0</v>
      </c>
      <c r="AB16" s="85">
        <v>0</v>
      </c>
      <c r="AC16" s="85">
        <v>0</v>
      </c>
      <c r="AD16" s="85">
        <v>0</v>
      </c>
      <c r="AE16" s="85">
        <v>6400</v>
      </c>
      <c r="AF16" s="85">
        <v>0</v>
      </c>
      <c r="AG16" s="85">
        <v>0</v>
      </c>
      <c r="AH16" s="85">
        <v>0</v>
      </c>
      <c r="AI16" s="85">
        <f>SUM('FY 09-11 DD 1416 Tracker-Total'!AU68)</f>
        <v>0</v>
      </c>
      <c r="AJ16" s="85">
        <f>SUM(U16:AI16)</f>
        <v>6400</v>
      </c>
      <c r="AK16" s="121"/>
      <c r="AL16" s="83">
        <f>SUM('FY 09-11 DD 1416 Tracker-Total'!AX68)</f>
        <v>109600</v>
      </c>
      <c r="AM16" s="83">
        <f>SUM('FY 09-11 DD 1416 Tracker-Total'!AY68)</f>
        <v>109600</v>
      </c>
      <c r="AN16" s="86">
        <f t="shared" si="4"/>
        <v>0</v>
      </c>
      <c r="AO16" s="15"/>
      <c r="AP16" s="20" t="s">
        <v>186</v>
      </c>
      <c r="AQ16" s="125" t="s">
        <v>186</v>
      </c>
    </row>
    <row r="17" spans="1:43" s="14" customFormat="1" ht="12.75">
      <c r="A17" s="87"/>
      <c r="B17" s="81">
        <v>1</v>
      </c>
      <c r="C17" s="82" t="s">
        <v>30</v>
      </c>
      <c r="D17" s="82" t="s">
        <v>128</v>
      </c>
      <c r="E17" s="90" t="s">
        <v>286</v>
      </c>
      <c r="F17" s="85">
        <f>SUM('FY 09-11 DD 1416 Tracker-Total'!F69)</f>
        <v>6000</v>
      </c>
      <c r="G17" s="83">
        <f>SUM('FY 09-11 DD 1416 Tracker-Total'!G69)</f>
        <v>0</v>
      </c>
      <c r="H17" s="85">
        <f>SUM(F17:G17)</f>
        <v>6000</v>
      </c>
      <c r="I17" s="83">
        <f>SUM('FY 09-11 DD 1416 Tracker-Total'!I69)</f>
        <v>0</v>
      </c>
      <c r="J17" s="84">
        <f t="shared" si="0"/>
        <v>6000</v>
      </c>
      <c r="K17" s="85"/>
      <c r="L17" s="85">
        <v>0</v>
      </c>
      <c r="M17" s="83">
        <f>SUM('FY 09-11 DD 1416 Tracker-Total'!M69)</f>
        <v>-18</v>
      </c>
      <c r="N17" s="84">
        <f t="shared" si="1"/>
        <v>5982</v>
      </c>
      <c r="O17" s="85"/>
      <c r="P17" s="85">
        <f t="shared" si="2"/>
        <v>6000</v>
      </c>
      <c r="Q17" s="85">
        <f>SUM(J17)</f>
        <v>6000</v>
      </c>
      <c r="R17" s="85">
        <f>SUM(L17+M17)</f>
        <v>-18</v>
      </c>
      <c r="S17" s="85">
        <v>0</v>
      </c>
      <c r="T17" s="85">
        <f>SUM('FY 09-11 DD 1416 Tracker-Total'!X69)</f>
        <v>0</v>
      </c>
      <c r="U17" s="85">
        <f>SUM(Q17:T17)</f>
        <v>5982</v>
      </c>
      <c r="V17" s="85">
        <v>0</v>
      </c>
      <c r="W17" s="85">
        <v>0</v>
      </c>
      <c r="X17" s="83">
        <v>0</v>
      </c>
      <c r="Y17" s="83">
        <v>0</v>
      </c>
      <c r="Z17" s="83">
        <v>0</v>
      </c>
      <c r="AA17" s="83">
        <f>SUM('FY 09-11 DD 1416 Tracker-Total'!AA69)</f>
        <v>0</v>
      </c>
      <c r="AB17" s="85">
        <v>0</v>
      </c>
      <c r="AC17" s="85">
        <v>0</v>
      </c>
      <c r="AD17" s="85">
        <v>0</v>
      </c>
      <c r="AE17" s="85">
        <v>0</v>
      </c>
      <c r="AF17" s="85">
        <v>0</v>
      </c>
      <c r="AG17" s="85">
        <v>0</v>
      </c>
      <c r="AH17" s="85">
        <v>0</v>
      </c>
      <c r="AI17" s="85">
        <f>SUM('FY 09-11 DD 1416 Tracker-Total'!AU69)</f>
        <v>0</v>
      </c>
      <c r="AJ17" s="85">
        <f t="shared" si="3"/>
        <v>5982</v>
      </c>
      <c r="AK17" s="121"/>
      <c r="AL17" s="83">
        <f>SUM('FY 09-11 DD 1416 Tracker-Total'!AX69)</f>
        <v>5982</v>
      </c>
      <c r="AM17" s="83">
        <f>SUM('FY 09-11 DD 1416 Tracker-Total'!AY69)</f>
        <v>5982</v>
      </c>
      <c r="AN17" s="86">
        <f t="shared" si="4"/>
        <v>0</v>
      </c>
      <c r="AO17" s="15"/>
      <c r="AP17" s="20" t="s">
        <v>186</v>
      </c>
      <c r="AQ17" s="125" t="s">
        <v>186</v>
      </c>
    </row>
    <row r="18" spans="1:43" s="14" customFormat="1" ht="12.75">
      <c r="A18" s="87"/>
      <c r="B18" s="81">
        <v>1</v>
      </c>
      <c r="C18" s="89" t="s">
        <v>30</v>
      </c>
      <c r="D18" s="89" t="s">
        <v>130</v>
      </c>
      <c r="E18" s="90" t="s">
        <v>286</v>
      </c>
      <c r="F18" s="85">
        <f>SUM('FY 09-11 DD 1416 Tracker-Total'!F71)</f>
        <v>31600</v>
      </c>
      <c r="G18" s="83">
        <f>SUM('FY 09-11 DD 1416 Tracker-Total'!G70)</f>
        <v>0</v>
      </c>
      <c r="H18" s="85">
        <f>SUM(F18:G18)</f>
        <v>31600</v>
      </c>
      <c r="I18" s="83">
        <f>SUM('FY 09-11 DD 1416 Tracker-Total'!I70)</f>
        <v>0</v>
      </c>
      <c r="J18" s="84">
        <f t="shared" si="0"/>
        <v>31600</v>
      </c>
      <c r="K18" s="85"/>
      <c r="L18" s="85">
        <v>0</v>
      </c>
      <c r="M18" s="83">
        <f>SUM('FY 09-11 DD 1416 Tracker-Total'!M71)</f>
        <v>-94</v>
      </c>
      <c r="N18" s="84">
        <f t="shared" si="1"/>
        <v>31506</v>
      </c>
      <c r="O18" s="85"/>
      <c r="P18" s="85">
        <f t="shared" si="2"/>
        <v>31600</v>
      </c>
      <c r="Q18" s="85">
        <f>SUM(J18)</f>
        <v>31600</v>
      </c>
      <c r="R18" s="85">
        <f>SUM(L18+M18)</f>
        <v>-94</v>
      </c>
      <c r="S18" s="85">
        <v>0</v>
      </c>
      <c r="T18" s="85">
        <f>SUM('FY 09-11 DD 1416 Tracker-Total'!X70)</f>
        <v>0</v>
      </c>
      <c r="U18" s="85">
        <f>SUM(Q18:T18)</f>
        <v>31506</v>
      </c>
      <c r="V18" s="85">
        <v>0</v>
      </c>
      <c r="W18" s="85">
        <v>0</v>
      </c>
      <c r="X18" s="85">
        <v>0</v>
      </c>
      <c r="Y18" s="85">
        <v>0</v>
      </c>
      <c r="Z18" s="85">
        <v>0</v>
      </c>
      <c r="AA18" s="83">
        <f>SUM('FY 09-11 DD 1416 Tracker-Total'!AA70)</f>
        <v>0</v>
      </c>
      <c r="AB18" s="85">
        <v>0</v>
      </c>
      <c r="AC18" s="85">
        <v>0</v>
      </c>
      <c r="AD18" s="85">
        <v>0</v>
      </c>
      <c r="AE18" s="85">
        <v>0</v>
      </c>
      <c r="AF18" s="85">
        <v>0</v>
      </c>
      <c r="AG18" s="85">
        <v>0</v>
      </c>
      <c r="AH18" s="85">
        <v>0</v>
      </c>
      <c r="AI18" s="85">
        <f>SUM('FY 09-11 DD 1416 Tracker-Total'!AU70)</f>
        <v>0</v>
      </c>
      <c r="AJ18" s="85">
        <f t="shared" si="3"/>
        <v>31506</v>
      </c>
      <c r="AK18" s="121"/>
      <c r="AL18" s="83">
        <f>SUM('FY 09-11 DD 1416 Tracker-Total'!AX71)</f>
        <v>31506</v>
      </c>
      <c r="AM18" s="83">
        <f>SUM('FY 09-11 DD 1416 Tracker-Total'!AY71)</f>
        <v>31506</v>
      </c>
      <c r="AN18" s="86">
        <f t="shared" si="4"/>
        <v>0</v>
      </c>
      <c r="AO18" s="15"/>
      <c r="AP18" s="20" t="s">
        <v>186</v>
      </c>
      <c r="AQ18" s="125" t="s">
        <v>186</v>
      </c>
    </row>
    <row r="19" spans="1:43" s="14" customFormat="1" ht="12.75">
      <c r="A19" s="87"/>
      <c r="B19" s="81">
        <v>1</v>
      </c>
      <c r="C19" s="89" t="s">
        <v>30</v>
      </c>
      <c r="D19" s="89" t="s">
        <v>183</v>
      </c>
      <c r="E19" s="90" t="s">
        <v>286</v>
      </c>
      <c r="F19" s="85">
        <f>SUM('FY 09-11 DD 1416 Tracker-Total'!F72)</f>
        <v>13448</v>
      </c>
      <c r="G19" s="83">
        <f>SUM('FY 09-11 DD 1416 Tracker-Total'!G71)</f>
        <v>0</v>
      </c>
      <c r="H19" s="85">
        <f>SUM(F19:G19)</f>
        <v>13448</v>
      </c>
      <c r="I19" s="83">
        <f>SUM('FY 09-11 DD 1416 Tracker-Total'!I71)</f>
        <v>0</v>
      </c>
      <c r="J19" s="84">
        <f t="shared" si="0"/>
        <v>13448</v>
      </c>
      <c r="K19" s="85"/>
      <c r="L19" s="85">
        <v>0</v>
      </c>
      <c r="M19" s="83">
        <f>SUM('FY 09-11 DD 1416 Tracker-Total'!M72)</f>
        <v>-40</v>
      </c>
      <c r="N19" s="84">
        <f t="shared" si="1"/>
        <v>13408</v>
      </c>
      <c r="O19" s="85"/>
      <c r="P19" s="85">
        <f t="shared" si="2"/>
        <v>13448</v>
      </c>
      <c r="Q19" s="85">
        <f>SUM(J19)</f>
        <v>13448</v>
      </c>
      <c r="R19" s="85">
        <f>SUM(L19+M19)</f>
        <v>-40</v>
      </c>
      <c r="S19" s="85">
        <v>0</v>
      </c>
      <c r="T19" s="85">
        <f>SUM('FY 09-11 DD 1416 Tracker-Total'!X71)</f>
        <v>0</v>
      </c>
      <c r="U19" s="85">
        <f>SUM(Q19:T19)</f>
        <v>13408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3">
        <f>SUM('FY 09-11 DD 1416 Tracker-Total'!AA71)</f>
        <v>0</v>
      </c>
      <c r="AB19" s="85">
        <v>0</v>
      </c>
      <c r="AC19" s="85">
        <v>0</v>
      </c>
      <c r="AD19" s="85">
        <v>0</v>
      </c>
      <c r="AE19" s="85">
        <v>0</v>
      </c>
      <c r="AF19" s="85">
        <v>0</v>
      </c>
      <c r="AG19" s="85">
        <v>0</v>
      </c>
      <c r="AH19" s="85">
        <v>0</v>
      </c>
      <c r="AI19" s="85">
        <f>SUM('FY 09-11 DD 1416 Tracker-Total'!AU71)</f>
        <v>0</v>
      </c>
      <c r="AJ19" s="83">
        <f t="shared" si="3"/>
        <v>13408</v>
      </c>
      <c r="AK19" s="121"/>
      <c r="AL19" s="83">
        <f>SUM('FY 09-11 DD 1416 Tracker-Total'!AX72)</f>
        <v>13408</v>
      </c>
      <c r="AM19" s="83">
        <f>SUM('FY 09-11 DD 1416 Tracker-Total'!AY72)</f>
        <v>13408</v>
      </c>
      <c r="AN19" s="86">
        <f t="shared" si="4"/>
        <v>0</v>
      </c>
      <c r="AO19" s="15"/>
      <c r="AP19" s="20" t="s">
        <v>186</v>
      </c>
      <c r="AQ19" s="125" t="s">
        <v>186</v>
      </c>
    </row>
    <row r="20" spans="1:43" s="14" customFormat="1" ht="12.75">
      <c r="A20" s="87"/>
      <c r="B20" s="88"/>
      <c r="C20" s="88"/>
      <c r="D20" s="88"/>
      <c r="E20" s="90" t="s">
        <v>285</v>
      </c>
      <c r="F20" s="85">
        <f>SUM(F14:F19)</f>
        <v>374893</v>
      </c>
      <c r="G20" s="85">
        <f aca="true" t="shared" si="5" ref="G20:AN20">SUM(G14:G19)</f>
        <v>-25000</v>
      </c>
      <c r="H20" s="85">
        <f t="shared" si="5"/>
        <v>349893</v>
      </c>
      <c r="I20" s="85">
        <f t="shared" si="5"/>
        <v>0</v>
      </c>
      <c r="J20" s="84">
        <f t="shared" si="5"/>
        <v>349893</v>
      </c>
      <c r="K20" s="85"/>
      <c r="L20" s="85">
        <f t="shared" si="5"/>
        <v>0</v>
      </c>
      <c r="M20" s="85">
        <f>SUM(M14:M19)</f>
        <v>-1034</v>
      </c>
      <c r="N20" s="84">
        <f t="shared" si="5"/>
        <v>348859</v>
      </c>
      <c r="O20" s="85"/>
      <c r="P20" s="85">
        <f t="shared" si="5"/>
        <v>374893</v>
      </c>
      <c r="Q20" s="85">
        <f>SUM(Q14:Q19)</f>
        <v>349893</v>
      </c>
      <c r="R20" s="85">
        <f t="shared" si="5"/>
        <v>-1034</v>
      </c>
      <c r="S20" s="85">
        <f t="shared" si="5"/>
        <v>0</v>
      </c>
      <c r="T20" s="85">
        <f t="shared" si="5"/>
        <v>55160</v>
      </c>
      <c r="U20" s="85">
        <f t="shared" si="5"/>
        <v>404019</v>
      </c>
      <c r="V20" s="85">
        <f t="shared" si="5"/>
        <v>0</v>
      </c>
      <c r="W20" s="85">
        <f t="shared" si="5"/>
        <v>0</v>
      </c>
      <c r="X20" s="85">
        <f>SUM(X14:X19)</f>
        <v>0</v>
      </c>
      <c r="Y20" s="85">
        <f>SUM(Y14:Y19)</f>
        <v>0</v>
      </c>
      <c r="Z20" s="85">
        <f>SUM(Z14:Z19)</f>
        <v>0</v>
      </c>
      <c r="AA20" s="85">
        <f t="shared" si="5"/>
        <v>0</v>
      </c>
      <c r="AB20" s="85">
        <f t="shared" si="5"/>
        <v>0</v>
      </c>
      <c r="AC20" s="85">
        <f t="shared" si="5"/>
        <v>0</v>
      </c>
      <c r="AD20" s="85">
        <f aca="true" t="shared" si="6" ref="AD20:AI20">SUM(AD14:AD19)</f>
        <v>0</v>
      </c>
      <c r="AE20" s="85">
        <f t="shared" si="6"/>
        <v>6400</v>
      </c>
      <c r="AF20" s="85">
        <f t="shared" si="6"/>
        <v>-29911</v>
      </c>
      <c r="AG20" s="85">
        <f t="shared" si="6"/>
        <v>0</v>
      </c>
      <c r="AH20" s="85">
        <f t="shared" si="6"/>
        <v>0</v>
      </c>
      <c r="AI20" s="85">
        <f t="shared" si="6"/>
        <v>63059</v>
      </c>
      <c r="AJ20" s="83">
        <f>SUM(AJ14:AJ19)</f>
        <v>443567</v>
      </c>
      <c r="AK20" s="121"/>
      <c r="AL20" s="83">
        <f>SUM(AL14:AL19)</f>
        <v>546766</v>
      </c>
      <c r="AM20" s="83">
        <f>SUM(AM14:AM19)</f>
        <v>546766</v>
      </c>
      <c r="AN20" s="86">
        <f t="shared" si="5"/>
        <v>0</v>
      </c>
      <c r="AO20" s="15"/>
      <c r="AP20" s="20" t="s">
        <v>186</v>
      </c>
      <c r="AQ20" s="125" t="s">
        <v>186</v>
      </c>
    </row>
    <row r="21" spans="1:40" ht="12.75">
      <c r="A21" s="151"/>
      <c r="B21" s="152"/>
      <c r="C21" s="152"/>
      <c r="D21" s="152"/>
      <c r="E21" s="158"/>
      <c r="F21" s="157"/>
      <c r="G21" s="157"/>
      <c r="H21" s="157"/>
      <c r="I21" s="157"/>
      <c r="J21" s="173"/>
      <c r="K21" s="157"/>
      <c r="L21" s="157"/>
      <c r="M21" s="157"/>
      <c r="N21" s="173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5"/>
      <c r="AL21" s="167"/>
      <c r="AM21" s="157"/>
      <c r="AN21" s="156"/>
    </row>
    <row r="22" spans="1:43" s="14" customFormat="1" ht="12.75">
      <c r="A22" s="131" t="s">
        <v>1</v>
      </c>
      <c r="B22" s="88">
        <v>2</v>
      </c>
      <c r="C22" s="89" t="s">
        <v>30</v>
      </c>
      <c r="D22" s="89">
        <v>31</v>
      </c>
      <c r="E22" s="90" t="s">
        <v>286</v>
      </c>
      <c r="F22" s="85">
        <f>SUM('FY 09-11 DD 1416 Tracker-Total'!F75)</f>
        <v>23517</v>
      </c>
      <c r="G22" s="85">
        <f>SUM('FY 09-11 DD 1416 Tracker-Total'!G75)</f>
        <v>0</v>
      </c>
      <c r="H22" s="85">
        <f aca="true" t="shared" si="7" ref="H22:H30">SUM(F22:G22)</f>
        <v>23517</v>
      </c>
      <c r="I22" s="85">
        <f>SUM('FY 09-11 DD 1416 Tracker-Total'!I75)</f>
        <v>0</v>
      </c>
      <c r="J22" s="84">
        <f aca="true" t="shared" si="8" ref="J22:J31">SUM(H22:I22)</f>
        <v>23517</v>
      </c>
      <c r="K22" s="85"/>
      <c r="L22" s="85">
        <v>0</v>
      </c>
      <c r="M22" s="85">
        <f>SUM('FY 09-11 DD 1416 Tracker-Total'!M75)</f>
        <v>-69</v>
      </c>
      <c r="N22" s="84">
        <f aca="true" t="shared" si="9" ref="N22:N31">SUM(J22:M22)</f>
        <v>23448</v>
      </c>
      <c r="O22" s="85"/>
      <c r="P22" s="85">
        <f aca="true" t="shared" si="10" ref="P22:P31">SUM(F22)</f>
        <v>23517</v>
      </c>
      <c r="Q22" s="85">
        <f aca="true" t="shared" si="11" ref="Q22:Q30">SUM(J22)</f>
        <v>23517</v>
      </c>
      <c r="R22" s="85">
        <f aca="true" t="shared" si="12" ref="R22:R31">SUM(L22+M22)</f>
        <v>-69</v>
      </c>
      <c r="S22" s="85">
        <v>0</v>
      </c>
      <c r="T22" s="85">
        <f>SUM('FY 09-11 DD 1416 Tracker-Total'!X75)</f>
        <v>5194</v>
      </c>
      <c r="U22" s="85">
        <f aca="true" t="shared" si="13" ref="U22:U31">SUM(Q22:T22)</f>
        <v>28642</v>
      </c>
      <c r="V22" s="85">
        <v>0</v>
      </c>
      <c r="W22" s="85">
        <v>0</v>
      </c>
      <c r="X22" s="83">
        <v>0</v>
      </c>
      <c r="Y22" s="349">
        <f>14445-14445</f>
        <v>0</v>
      </c>
      <c r="Z22" s="83">
        <v>0</v>
      </c>
      <c r="AA22" s="85">
        <f>SUM('FY 09-11 DD 1416 Tracker-Total'!AA75)</f>
        <v>0</v>
      </c>
      <c r="AB22" s="85">
        <v>0</v>
      </c>
      <c r="AC22" s="85">
        <v>0</v>
      </c>
      <c r="AD22" s="85">
        <v>0</v>
      </c>
      <c r="AE22" s="85">
        <v>0</v>
      </c>
      <c r="AF22" s="85">
        <v>0</v>
      </c>
      <c r="AG22" s="85">
        <v>0</v>
      </c>
      <c r="AH22" s="85">
        <v>0</v>
      </c>
      <c r="AI22" s="85">
        <f>SUM('FY 09-11 DD 1416 Tracker-Total'!AU75)</f>
        <v>0</v>
      </c>
      <c r="AJ22" s="85">
        <f>SUM(U22:AI22)</f>
        <v>28642</v>
      </c>
      <c r="AK22" s="121"/>
      <c r="AL22" s="83">
        <f>SUM('FY 09-11 DD 1416 Tracker-Total'!AX75)</f>
        <v>43087</v>
      </c>
      <c r="AM22" s="85">
        <f>SUM('FY 09-11 DD 1416 Tracker-Total'!AY75)</f>
        <v>43087</v>
      </c>
      <c r="AN22" s="86">
        <f aca="true" t="shared" si="14" ref="AN22:AN31">SUM(AM22-AL22)</f>
        <v>0</v>
      </c>
      <c r="AO22" s="15"/>
      <c r="AP22" s="14" t="s">
        <v>186</v>
      </c>
      <c r="AQ22" s="13" t="s">
        <v>186</v>
      </c>
    </row>
    <row r="23" spans="1:43" s="14" customFormat="1" ht="12.75">
      <c r="A23" s="87"/>
      <c r="B23" s="88">
        <v>2</v>
      </c>
      <c r="C23" s="89" t="s">
        <v>30</v>
      </c>
      <c r="D23" s="88">
        <v>31</v>
      </c>
      <c r="E23" s="90" t="s">
        <v>286</v>
      </c>
      <c r="F23" s="85">
        <f>SUM('FY 09-11 DD 1416 Tracker-Total'!F76)</f>
        <v>0</v>
      </c>
      <c r="G23" s="85">
        <f>SUM('FY 09-11 DD 1416 Tracker-Total'!G76)</f>
        <v>0</v>
      </c>
      <c r="H23" s="85">
        <f t="shared" si="7"/>
        <v>0</v>
      </c>
      <c r="I23" s="85">
        <f>SUM('FY 09-11 DD 1416 Tracker-Total'!I76)</f>
        <v>0</v>
      </c>
      <c r="J23" s="84">
        <f t="shared" si="8"/>
        <v>0</v>
      </c>
      <c r="K23" s="85"/>
      <c r="L23" s="85">
        <v>0</v>
      </c>
      <c r="M23" s="85">
        <f>SUM('FY 09-11 DD 1416 Tracker-Total'!M76)</f>
        <v>0</v>
      </c>
      <c r="N23" s="84">
        <f t="shared" si="9"/>
        <v>0</v>
      </c>
      <c r="O23" s="85"/>
      <c r="P23" s="85">
        <f t="shared" si="10"/>
        <v>0</v>
      </c>
      <c r="Q23" s="85">
        <f t="shared" si="11"/>
        <v>0</v>
      </c>
      <c r="R23" s="85">
        <f t="shared" si="12"/>
        <v>0</v>
      </c>
      <c r="S23" s="85">
        <v>0</v>
      </c>
      <c r="T23" s="85">
        <f>SUM('FY 09-11 DD 1416 Tracker-Total'!X76)</f>
        <v>0</v>
      </c>
      <c r="U23" s="85">
        <f t="shared" si="13"/>
        <v>0</v>
      </c>
      <c r="V23" s="85">
        <v>0</v>
      </c>
      <c r="W23" s="85">
        <v>0</v>
      </c>
      <c r="X23" s="83">
        <v>0</v>
      </c>
      <c r="Y23" s="83">
        <v>0</v>
      </c>
      <c r="Z23" s="83">
        <v>0</v>
      </c>
      <c r="AA23" s="85">
        <f>SUM('FY 09-11 DD 1416 Tracker-Total'!AA76)</f>
        <v>0</v>
      </c>
      <c r="AB23" s="85">
        <v>0</v>
      </c>
      <c r="AC23" s="85">
        <v>0</v>
      </c>
      <c r="AD23" s="85">
        <v>0</v>
      </c>
      <c r="AE23" s="85">
        <v>0</v>
      </c>
      <c r="AF23" s="85">
        <v>0</v>
      </c>
      <c r="AG23" s="85">
        <v>0</v>
      </c>
      <c r="AH23" s="85">
        <v>0</v>
      </c>
      <c r="AI23" s="85">
        <f>SUM('FY 09-11 DD 1416 Tracker-Total'!AU76)</f>
        <v>0</v>
      </c>
      <c r="AJ23" s="85">
        <f aca="true" t="shared" si="15" ref="AJ23:AJ31">SUM(U23:AI23)</f>
        <v>0</v>
      </c>
      <c r="AK23" s="121"/>
      <c r="AL23" s="83">
        <f>SUM('FY 09-11 DD 1416 Tracker-Total'!AX76)</f>
        <v>0</v>
      </c>
      <c r="AM23" s="85">
        <f>SUM('FY 09-11 DD 1416 Tracker-Total'!AY76)</f>
        <v>0</v>
      </c>
      <c r="AN23" s="86">
        <f t="shared" si="14"/>
        <v>0</v>
      </c>
      <c r="AO23" s="15"/>
      <c r="AP23" s="14" t="s">
        <v>186</v>
      </c>
      <c r="AQ23" s="13" t="s">
        <v>186</v>
      </c>
    </row>
    <row r="24" spans="1:43" s="14" customFormat="1" ht="12.75">
      <c r="A24" s="73"/>
      <c r="B24" s="88">
        <v>2</v>
      </c>
      <c r="C24" s="89" t="s">
        <v>30</v>
      </c>
      <c r="D24" s="88">
        <v>31</v>
      </c>
      <c r="E24" s="90" t="s">
        <v>286</v>
      </c>
      <c r="F24" s="85">
        <v>0</v>
      </c>
      <c r="G24" s="85">
        <v>0</v>
      </c>
      <c r="H24" s="85">
        <v>0</v>
      </c>
      <c r="I24" s="83">
        <v>0</v>
      </c>
      <c r="J24" s="84">
        <f t="shared" si="8"/>
        <v>0</v>
      </c>
      <c r="K24" s="85"/>
      <c r="L24" s="85">
        <v>0</v>
      </c>
      <c r="M24" s="85">
        <v>0</v>
      </c>
      <c r="N24" s="84">
        <f t="shared" si="9"/>
        <v>0</v>
      </c>
      <c r="O24" s="85"/>
      <c r="P24" s="85">
        <f t="shared" si="10"/>
        <v>0</v>
      </c>
      <c r="Q24" s="85">
        <f t="shared" si="11"/>
        <v>0</v>
      </c>
      <c r="R24" s="85">
        <f t="shared" si="12"/>
        <v>0</v>
      </c>
      <c r="S24" s="85">
        <v>0</v>
      </c>
      <c r="T24" s="85">
        <v>0</v>
      </c>
      <c r="U24" s="85">
        <f t="shared" si="13"/>
        <v>0</v>
      </c>
      <c r="V24" s="85">
        <v>0</v>
      </c>
      <c r="W24" s="85">
        <v>0</v>
      </c>
      <c r="X24" s="83">
        <v>0</v>
      </c>
      <c r="Y24" s="349">
        <f>1000-1000</f>
        <v>0</v>
      </c>
      <c r="Z24" s="83">
        <v>0</v>
      </c>
      <c r="AA24" s="83">
        <v>0</v>
      </c>
      <c r="AB24" s="85">
        <v>0</v>
      </c>
      <c r="AC24" s="85">
        <v>300</v>
      </c>
      <c r="AD24" s="85">
        <v>0</v>
      </c>
      <c r="AE24" s="85">
        <v>25000</v>
      </c>
      <c r="AF24" s="85">
        <v>0</v>
      </c>
      <c r="AG24" s="85">
        <v>0</v>
      </c>
      <c r="AH24" s="85">
        <v>0</v>
      </c>
      <c r="AI24" s="85">
        <f>SUM('FY 09-11 DD 1416 Tracker-Total'!AU77)</f>
        <v>0</v>
      </c>
      <c r="AJ24" s="85">
        <f t="shared" si="15"/>
        <v>25300</v>
      </c>
      <c r="AK24" s="121"/>
      <c r="AL24" s="83">
        <f>SUM('FY 09-11 DD 1416 Tracker-Total'!AX77)</f>
        <v>39300</v>
      </c>
      <c r="AM24" s="85">
        <f>SUM('FY 09-11 DD 1416 Tracker-Total'!AY77)</f>
        <v>39300</v>
      </c>
      <c r="AN24" s="86">
        <f t="shared" si="14"/>
        <v>0</v>
      </c>
      <c r="AO24" s="15"/>
      <c r="AP24" s="14" t="s">
        <v>186</v>
      </c>
      <c r="AQ24" s="13" t="s">
        <v>186</v>
      </c>
    </row>
    <row r="25" spans="1:43" s="14" customFormat="1" ht="12.75">
      <c r="A25" s="87"/>
      <c r="B25" s="88">
        <v>2</v>
      </c>
      <c r="C25" s="89" t="s">
        <v>30</v>
      </c>
      <c r="D25" s="88">
        <v>31</v>
      </c>
      <c r="E25" s="90" t="s">
        <v>286</v>
      </c>
      <c r="F25" s="85">
        <f>SUM('FY 09-11 DD 1416 Tracker-Total'!F78)</f>
        <v>467</v>
      </c>
      <c r="G25" s="85">
        <f>SUM('FY 09-11 DD 1416 Tracker-Total'!G78)</f>
        <v>0</v>
      </c>
      <c r="H25" s="85">
        <f t="shared" si="7"/>
        <v>467</v>
      </c>
      <c r="I25" s="85">
        <f>SUM('FY 09-11 DD 1416 Tracker-Total'!I78)</f>
        <v>0</v>
      </c>
      <c r="J25" s="84">
        <f t="shared" si="8"/>
        <v>467</v>
      </c>
      <c r="K25" s="85"/>
      <c r="L25" s="85">
        <v>0</v>
      </c>
      <c r="M25" s="85">
        <f>SUM('FY 09-11 DD 1416 Tracker-Total'!M78)</f>
        <v>-1</v>
      </c>
      <c r="N25" s="84">
        <f t="shared" si="9"/>
        <v>466</v>
      </c>
      <c r="O25" s="85"/>
      <c r="P25" s="85">
        <f t="shared" si="10"/>
        <v>467</v>
      </c>
      <c r="Q25" s="85">
        <f t="shared" si="11"/>
        <v>467</v>
      </c>
      <c r="R25" s="85">
        <f t="shared" si="12"/>
        <v>-1</v>
      </c>
      <c r="S25" s="85">
        <v>0</v>
      </c>
      <c r="T25" s="85">
        <f>SUM('FY 09-11 DD 1416 Tracker-Total'!X78)</f>
        <v>0</v>
      </c>
      <c r="U25" s="85">
        <f t="shared" si="13"/>
        <v>466</v>
      </c>
      <c r="V25" s="85">
        <v>0</v>
      </c>
      <c r="W25" s="85">
        <v>0</v>
      </c>
      <c r="X25" s="83">
        <v>0</v>
      </c>
      <c r="Y25" s="83">
        <v>0</v>
      </c>
      <c r="Z25" s="83">
        <v>0</v>
      </c>
      <c r="AA25" s="85">
        <f>SUM('FY 09-11 DD 1416 Tracker-Total'!AA78)</f>
        <v>0</v>
      </c>
      <c r="AB25" s="85">
        <v>0</v>
      </c>
      <c r="AC25" s="85">
        <v>0</v>
      </c>
      <c r="AD25" s="85">
        <v>0</v>
      </c>
      <c r="AE25" s="85">
        <v>0</v>
      </c>
      <c r="AF25" s="85">
        <v>0</v>
      </c>
      <c r="AG25" s="85">
        <v>0</v>
      </c>
      <c r="AH25" s="85">
        <v>0</v>
      </c>
      <c r="AI25" s="85">
        <f>SUM('FY 09-11 DD 1416 Tracker-Total'!AU78)</f>
        <v>0</v>
      </c>
      <c r="AJ25" s="85">
        <f t="shared" si="15"/>
        <v>466</v>
      </c>
      <c r="AK25" s="121"/>
      <c r="AL25" s="83">
        <f>SUM('FY 09-11 DD 1416 Tracker-Total'!AX78)</f>
        <v>466</v>
      </c>
      <c r="AM25" s="85">
        <f>SUM('FY 09-11 DD 1416 Tracker-Total'!AY78)</f>
        <v>466</v>
      </c>
      <c r="AN25" s="86">
        <f t="shared" si="14"/>
        <v>0</v>
      </c>
      <c r="AO25" s="15"/>
      <c r="AP25" s="14" t="s">
        <v>186</v>
      </c>
      <c r="AQ25" s="13" t="s">
        <v>186</v>
      </c>
    </row>
    <row r="26" spans="1:43" s="14" customFormat="1" ht="12.75">
      <c r="A26" s="87"/>
      <c r="B26" s="88">
        <v>2</v>
      </c>
      <c r="C26" s="89" t="s">
        <v>30</v>
      </c>
      <c r="D26" s="88">
        <v>31</v>
      </c>
      <c r="E26" s="90" t="s">
        <v>286</v>
      </c>
      <c r="F26" s="85">
        <f>SUM('FY 09-11 DD 1416 Tracker-Total'!F79)</f>
        <v>775</v>
      </c>
      <c r="G26" s="85">
        <f>SUM('FY 09-11 DD 1416 Tracker-Total'!G79)</f>
        <v>0</v>
      </c>
      <c r="H26" s="85">
        <f t="shared" si="7"/>
        <v>775</v>
      </c>
      <c r="I26" s="85">
        <f>SUM('FY 09-11 DD 1416 Tracker-Total'!I79)</f>
        <v>0</v>
      </c>
      <c r="J26" s="84">
        <f t="shared" si="8"/>
        <v>775</v>
      </c>
      <c r="K26" s="85"/>
      <c r="L26" s="85">
        <v>0</v>
      </c>
      <c r="M26" s="85">
        <f>SUM('FY 09-11 DD 1416 Tracker-Total'!M79)</f>
        <v>-2</v>
      </c>
      <c r="N26" s="84">
        <f t="shared" si="9"/>
        <v>773</v>
      </c>
      <c r="O26" s="85"/>
      <c r="P26" s="85">
        <f t="shared" si="10"/>
        <v>775</v>
      </c>
      <c r="Q26" s="85">
        <f t="shared" si="11"/>
        <v>775</v>
      </c>
      <c r="R26" s="85">
        <f t="shared" si="12"/>
        <v>-2</v>
      </c>
      <c r="S26" s="85">
        <v>0</v>
      </c>
      <c r="T26" s="85">
        <f>SUM('FY 09-11 DD 1416 Tracker-Total'!X79)</f>
        <v>0</v>
      </c>
      <c r="U26" s="85">
        <f t="shared" si="13"/>
        <v>773</v>
      </c>
      <c r="V26" s="85">
        <v>0</v>
      </c>
      <c r="W26" s="85">
        <v>0</v>
      </c>
      <c r="X26" s="83">
        <v>0</v>
      </c>
      <c r="Y26" s="83">
        <v>0</v>
      </c>
      <c r="Z26" s="83">
        <v>0</v>
      </c>
      <c r="AA26" s="85">
        <f>SUM('FY 09-11 DD 1416 Tracker-Total'!AA79)</f>
        <v>0</v>
      </c>
      <c r="AB26" s="85">
        <v>0</v>
      </c>
      <c r="AC26" s="85">
        <v>0</v>
      </c>
      <c r="AD26" s="85">
        <v>0</v>
      </c>
      <c r="AE26" s="85">
        <v>0</v>
      </c>
      <c r="AF26" s="85">
        <v>0</v>
      </c>
      <c r="AG26" s="85">
        <v>0</v>
      </c>
      <c r="AH26" s="85">
        <v>0</v>
      </c>
      <c r="AI26" s="85">
        <f>SUM('FY 09-11 DD 1416 Tracker-Total'!AU79)</f>
        <v>0</v>
      </c>
      <c r="AJ26" s="85">
        <f t="shared" si="15"/>
        <v>773</v>
      </c>
      <c r="AK26" s="121"/>
      <c r="AL26" s="83">
        <f>SUM('FY 09-11 DD 1416 Tracker-Total'!AX79)</f>
        <v>773</v>
      </c>
      <c r="AM26" s="85">
        <f>SUM('FY 09-11 DD 1416 Tracker-Total'!AY79)</f>
        <v>773</v>
      </c>
      <c r="AN26" s="86">
        <f t="shared" si="14"/>
        <v>0</v>
      </c>
      <c r="AO26" s="15"/>
      <c r="AP26" s="14" t="s">
        <v>186</v>
      </c>
      <c r="AQ26" s="13" t="s">
        <v>186</v>
      </c>
    </row>
    <row r="27" spans="1:43" s="14" customFormat="1" ht="12.75">
      <c r="A27" s="87"/>
      <c r="B27" s="88">
        <v>2</v>
      </c>
      <c r="C27" s="89" t="s">
        <v>30</v>
      </c>
      <c r="D27" s="88">
        <v>31</v>
      </c>
      <c r="E27" s="90" t="s">
        <v>286</v>
      </c>
      <c r="F27" s="85">
        <f>SUM('FY 09-11 DD 1416 Tracker-Total'!F80)</f>
        <v>3779</v>
      </c>
      <c r="G27" s="85">
        <f>SUM('FY 09-11 DD 1416 Tracker-Total'!G80)</f>
        <v>0</v>
      </c>
      <c r="H27" s="85">
        <f t="shared" si="7"/>
        <v>3779</v>
      </c>
      <c r="I27" s="85">
        <f>SUM('FY 09-11 DD 1416 Tracker-Total'!I80)</f>
        <v>0</v>
      </c>
      <c r="J27" s="84">
        <f t="shared" si="8"/>
        <v>3779</v>
      </c>
      <c r="K27" s="85"/>
      <c r="L27" s="85">
        <v>0</v>
      </c>
      <c r="M27" s="85">
        <f>SUM('FY 09-11 DD 1416 Tracker-Total'!M80)</f>
        <v>-11</v>
      </c>
      <c r="N27" s="84">
        <f t="shared" si="9"/>
        <v>3768</v>
      </c>
      <c r="O27" s="85"/>
      <c r="P27" s="85">
        <f t="shared" si="10"/>
        <v>3779</v>
      </c>
      <c r="Q27" s="85">
        <f t="shared" si="11"/>
        <v>3779</v>
      </c>
      <c r="R27" s="85">
        <f t="shared" si="12"/>
        <v>-11</v>
      </c>
      <c r="S27" s="85">
        <v>0</v>
      </c>
      <c r="T27" s="85">
        <f>SUM('FY 09-11 DD 1416 Tracker-Total'!X80)</f>
        <v>0</v>
      </c>
      <c r="U27" s="85">
        <f t="shared" si="13"/>
        <v>3768</v>
      </c>
      <c r="V27" s="85">
        <v>0</v>
      </c>
      <c r="W27" s="85">
        <v>0</v>
      </c>
      <c r="X27" s="83">
        <v>0</v>
      </c>
      <c r="Y27" s="83">
        <v>0</v>
      </c>
      <c r="Z27" s="83">
        <v>0</v>
      </c>
      <c r="AA27" s="85">
        <f>SUM('FY 09-11 DD 1416 Tracker-Total'!AA80)</f>
        <v>0</v>
      </c>
      <c r="AB27" s="85">
        <v>0</v>
      </c>
      <c r="AC27" s="85">
        <v>0</v>
      </c>
      <c r="AD27" s="85">
        <v>0</v>
      </c>
      <c r="AE27" s="85">
        <v>0</v>
      </c>
      <c r="AF27" s="85">
        <v>0</v>
      </c>
      <c r="AG27" s="85">
        <v>0</v>
      </c>
      <c r="AH27" s="85">
        <v>0</v>
      </c>
      <c r="AI27" s="85">
        <f>SUM('FY 09-11 DD 1416 Tracker-Total'!AU80)</f>
        <v>0</v>
      </c>
      <c r="AJ27" s="85">
        <f t="shared" si="15"/>
        <v>3768</v>
      </c>
      <c r="AK27" s="121"/>
      <c r="AL27" s="83">
        <f>SUM('FY 09-11 DD 1416 Tracker-Total'!AX80)</f>
        <v>3768</v>
      </c>
      <c r="AM27" s="85">
        <f>SUM('FY 09-11 DD 1416 Tracker-Total'!AY80)</f>
        <v>3768</v>
      </c>
      <c r="AN27" s="86">
        <f t="shared" si="14"/>
        <v>0</v>
      </c>
      <c r="AO27" s="15"/>
      <c r="AP27" s="14" t="s">
        <v>186</v>
      </c>
      <c r="AQ27" s="13" t="s">
        <v>186</v>
      </c>
    </row>
    <row r="28" spans="1:43" s="14" customFormat="1" ht="12.75">
      <c r="A28" s="87"/>
      <c r="B28" s="88">
        <v>2</v>
      </c>
      <c r="C28" s="89" t="s">
        <v>30</v>
      </c>
      <c r="D28" s="88">
        <v>31</v>
      </c>
      <c r="E28" s="90" t="s">
        <v>286</v>
      </c>
      <c r="F28" s="85">
        <f>SUM('FY 09-11 DD 1416 Tracker-Total'!F81)</f>
        <v>466</v>
      </c>
      <c r="G28" s="85">
        <f>SUM('FY 09-11 DD 1416 Tracker-Total'!G81)</f>
        <v>0</v>
      </c>
      <c r="H28" s="85">
        <f t="shared" si="7"/>
        <v>466</v>
      </c>
      <c r="I28" s="85">
        <f>SUM('FY 09-11 DD 1416 Tracker-Total'!I81)</f>
        <v>0</v>
      </c>
      <c r="J28" s="84">
        <f t="shared" si="8"/>
        <v>466</v>
      </c>
      <c r="K28" s="85"/>
      <c r="L28" s="85">
        <v>0</v>
      </c>
      <c r="M28" s="85">
        <f>SUM('FY 09-11 DD 1416 Tracker-Total'!M81)</f>
        <v>-1</v>
      </c>
      <c r="N28" s="84">
        <f t="shared" si="9"/>
        <v>465</v>
      </c>
      <c r="O28" s="85"/>
      <c r="P28" s="85">
        <f t="shared" si="10"/>
        <v>466</v>
      </c>
      <c r="Q28" s="85">
        <f t="shared" si="11"/>
        <v>466</v>
      </c>
      <c r="R28" s="85">
        <f t="shared" si="12"/>
        <v>-1</v>
      </c>
      <c r="S28" s="85">
        <v>0</v>
      </c>
      <c r="T28" s="85">
        <f>SUM('FY 09-11 DD 1416 Tracker-Total'!X81)</f>
        <v>0</v>
      </c>
      <c r="U28" s="85">
        <f t="shared" si="13"/>
        <v>465</v>
      </c>
      <c r="V28" s="85">
        <v>0</v>
      </c>
      <c r="W28" s="85">
        <v>0</v>
      </c>
      <c r="X28" s="83">
        <v>0</v>
      </c>
      <c r="Y28" s="83">
        <v>0</v>
      </c>
      <c r="Z28" s="83">
        <v>0</v>
      </c>
      <c r="AA28" s="85">
        <f>SUM('FY 09-11 DD 1416 Tracker-Total'!AA81)</f>
        <v>0</v>
      </c>
      <c r="AB28" s="85">
        <v>0</v>
      </c>
      <c r="AC28" s="85">
        <v>0</v>
      </c>
      <c r="AD28" s="85">
        <v>0</v>
      </c>
      <c r="AE28" s="85">
        <v>0</v>
      </c>
      <c r="AF28" s="85">
        <v>0</v>
      </c>
      <c r="AG28" s="85">
        <v>0</v>
      </c>
      <c r="AH28" s="85">
        <v>0</v>
      </c>
      <c r="AI28" s="85">
        <f>SUM('FY 09-11 DD 1416 Tracker-Total'!AU81)</f>
        <v>0</v>
      </c>
      <c r="AJ28" s="85">
        <f t="shared" si="15"/>
        <v>465</v>
      </c>
      <c r="AK28" s="121"/>
      <c r="AL28" s="83">
        <f>SUM('FY 09-11 DD 1416 Tracker-Total'!AX81)</f>
        <v>5865</v>
      </c>
      <c r="AM28" s="85">
        <f>SUM('FY 09-11 DD 1416 Tracker-Total'!AY81)</f>
        <v>5865</v>
      </c>
      <c r="AN28" s="86">
        <f t="shared" si="14"/>
        <v>0</v>
      </c>
      <c r="AO28" s="15"/>
      <c r="AP28" s="14" t="s">
        <v>186</v>
      </c>
      <c r="AQ28" s="13" t="s">
        <v>186</v>
      </c>
    </row>
    <row r="29" spans="1:43" s="14" customFormat="1" ht="12.75">
      <c r="A29" s="87"/>
      <c r="B29" s="88">
        <v>2</v>
      </c>
      <c r="C29" s="89" t="s">
        <v>30</v>
      </c>
      <c r="D29" s="88">
        <v>31</v>
      </c>
      <c r="E29" s="90" t="s">
        <v>286</v>
      </c>
      <c r="F29" s="85">
        <f>SUM('FY 09-11 DD 1416 Tracker-Total'!F82)</f>
        <v>50</v>
      </c>
      <c r="G29" s="85">
        <f>SUM('FY 09-11 DD 1416 Tracker-Total'!G82)</f>
        <v>0</v>
      </c>
      <c r="H29" s="85">
        <f t="shared" si="7"/>
        <v>50</v>
      </c>
      <c r="I29" s="85">
        <f>SUM('FY 09-11 DD 1416 Tracker-Total'!I82)</f>
        <v>0</v>
      </c>
      <c r="J29" s="84">
        <f t="shared" si="8"/>
        <v>50</v>
      </c>
      <c r="K29" s="85"/>
      <c r="L29" s="85">
        <v>0</v>
      </c>
      <c r="M29" s="85">
        <f>SUM('FY 09-11 DD 1416 Tracker-Total'!M82)</f>
        <v>0</v>
      </c>
      <c r="N29" s="84">
        <f t="shared" si="9"/>
        <v>50</v>
      </c>
      <c r="O29" s="85"/>
      <c r="P29" s="85">
        <f t="shared" si="10"/>
        <v>50</v>
      </c>
      <c r="Q29" s="85">
        <f t="shared" si="11"/>
        <v>50</v>
      </c>
      <c r="R29" s="85">
        <f t="shared" si="12"/>
        <v>0</v>
      </c>
      <c r="S29" s="85">
        <v>0</v>
      </c>
      <c r="T29" s="85">
        <f>SUM('FY 09-11 DD 1416 Tracker-Total'!X82)</f>
        <v>0</v>
      </c>
      <c r="U29" s="85">
        <f t="shared" si="13"/>
        <v>50</v>
      </c>
      <c r="V29" s="85">
        <v>0</v>
      </c>
      <c r="W29" s="85">
        <v>0</v>
      </c>
      <c r="X29" s="83">
        <v>0</v>
      </c>
      <c r="Y29" s="349">
        <f>800-800</f>
        <v>0</v>
      </c>
      <c r="Z29" s="83">
        <v>0</v>
      </c>
      <c r="AA29" s="85">
        <f>SUM('FY 09-11 DD 1416 Tracker-Total'!AA82)</f>
        <v>0</v>
      </c>
      <c r="AB29" s="85">
        <v>0</v>
      </c>
      <c r="AC29" s="85">
        <v>0</v>
      </c>
      <c r="AD29" s="85">
        <v>0</v>
      </c>
      <c r="AE29" s="85">
        <v>0</v>
      </c>
      <c r="AF29" s="85">
        <v>0</v>
      </c>
      <c r="AG29" s="85">
        <v>0</v>
      </c>
      <c r="AH29" s="85">
        <v>0</v>
      </c>
      <c r="AI29" s="85">
        <f>SUM('FY 09-11 DD 1416 Tracker-Total'!AU82)</f>
        <v>0</v>
      </c>
      <c r="AJ29" s="85">
        <f t="shared" si="15"/>
        <v>50</v>
      </c>
      <c r="AK29" s="121"/>
      <c r="AL29" s="83">
        <f>SUM('FY 09-11 DD 1416 Tracker-Total'!AX82)</f>
        <v>850</v>
      </c>
      <c r="AM29" s="85">
        <f>SUM('FY 09-11 DD 1416 Tracker-Total'!AY82)</f>
        <v>850</v>
      </c>
      <c r="AN29" s="86">
        <f t="shared" si="14"/>
        <v>0</v>
      </c>
      <c r="AO29" s="15"/>
      <c r="AP29" s="14" t="s">
        <v>186</v>
      </c>
      <c r="AQ29" s="13" t="s">
        <v>186</v>
      </c>
    </row>
    <row r="30" spans="1:43" s="14" customFormat="1" ht="12.75">
      <c r="A30" s="87"/>
      <c r="B30" s="88">
        <v>2</v>
      </c>
      <c r="C30" s="89" t="s">
        <v>30</v>
      </c>
      <c r="D30" s="88">
        <v>31</v>
      </c>
      <c r="E30" s="90" t="s">
        <v>286</v>
      </c>
      <c r="F30" s="85">
        <f>SUM('FY 09-11 DD 1416 Tracker-Total'!F83)</f>
        <v>300</v>
      </c>
      <c r="G30" s="85">
        <f>SUM('FY 09-11 DD 1416 Tracker-Total'!G83)</f>
        <v>0</v>
      </c>
      <c r="H30" s="85">
        <f t="shared" si="7"/>
        <v>300</v>
      </c>
      <c r="I30" s="85">
        <f>SUM('FY 09-11 DD 1416 Tracker-Total'!I83)</f>
        <v>0</v>
      </c>
      <c r="J30" s="84">
        <f t="shared" si="8"/>
        <v>300</v>
      </c>
      <c r="K30" s="85"/>
      <c r="L30" s="85">
        <v>0</v>
      </c>
      <c r="M30" s="85">
        <f>SUM('FY 09-11 DD 1416 Tracker-Total'!M83)</f>
        <v>-1</v>
      </c>
      <c r="N30" s="84">
        <f t="shared" si="9"/>
        <v>299</v>
      </c>
      <c r="O30" s="85"/>
      <c r="P30" s="85">
        <f t="shared" si="10"/>
        <v>300</v>
      </c>
      <c r="Q30" s="85">
        <f t="shared" si="11"/>
        <v>300</v>
      </c>
      <c r="R30" s="85">
        <f t="shared" si="12"/>
        <v>-1</v>
      </c>
      <c r="S30" s="85">
        <v>0</v>
      </c>
      <c r="T30" s="85">
        <f>SUM('FY 09-11 DD 1416 Tracker-Total'!X83)</f>
        <v>0</v>
      </c>
      <c r="U30" s="85">
        <f t="shared" si="13"/>
        <v>299</v>
      </c>
      <c r="V30" s="85">
        <v>0</v>
      </c>
      <c r="W30" s="85">
        <v>0</v>
      </c>
      <c r="X30" s="83">
        <v>0</v>
      </c>
      <c r="Y30" s="83">
        <v>0</v>
      </c>
      <c r="Z30" s="83">
        <v>0</v>
      </c>
      <c r="AA30" s="85">
        <f>SUM('FY 09-11 DD 1416 Tracker-Total'!AA83)</f>
        <v>0</v>
      </c>
      <c r="AB30" s="85">
        <v>0</v>
      </c>
      <c r="AC30" s="85">
        <v>0</v>
      </c>
      <c r="AD30" s="85">
        <v>0</v>
      </c>
      <c r="AE30" s="85">
        <v>0</v>
      </c>
      <c r="AF30" s="85">
        <v>0</v>
      </c>
      <c r="AG30" s="85">
        <v>0</v>
      </c>
      <c r="AH30" s="85">
        <v>0</v>
      </c>
      <c r="AI30" s="85">
        <f>SUM('FY 09-11 DD 1416 Tracker-Total'!AU83)</f>
        <v>0</v>
      </c>
      <c r="AJ30" s="85">
        <f t="shared" si="15"/>
        <v>299</v>
      </c>
      <c r="AK30" s="121"/>
      <c r="AL30" s="83">
        <f>SUM('FY 09-11 DD 1416 Tracker-Total'!AX83)</f>
        <v>299</v>
      </c>
      <c r="AM30" s="85">
        <f>SUM('FY 09-11 DD 1416 Tracker-Total'!AY83)</f>
        <v>299</v>
      </c>
      <c r="AN30" s="86">
        <f t="shared" si="14"/>
        <v>0</v>
      </c>
      <c r="AO30" s="15"/>
      <c r="AP30" s="14" t="s">
        <v>186</v>
      </c>
      <c r="AQ30" s="13" t="s">
        <v>186</v>
      </c>
    </row>
    <row r="31" spans="1:43" s="14" customFormat="1" ht="12.75">
      <c r="A31" s="73"/>
      <c r="B31" s="88">
        <v>2</v>
      </c>
      <c r="C31" s="89" t="s">
        <v>30</v>
      </c>
      <c r="D31" s="89" t="s">
        <v>262</v>
      </c>
      <c r="E31" s="90" t="s">
        <v>286</v>
      </c>
      <c r="F31" s="85">
        <v>0</v>
      </c>
      <c r="G31" s="85">
        <v>0</v>
      </c>
      <c r="H31" s="85">
        <v>0</v>
      </c>
      <c r="I31" s="83">
        <v>0</v>
      </c>
      <c r="J31" s="84">
        <f t="shared" si="8"/>
        <v>0</v>
      </c>
      <c r="K31" s="85"/>
      <c r="L31" s="85">
        <v>0</v>
      </c>
      <c r="M31" s="85">
        <v>0</v>
      </c>
      <c r="N31" s="84">
        <f t="shared" si="9"/>
        <v>0</v>
      </c>
      <c r="O31" s="85"/>
      <c r="P31" s="85">
        <f t="shared" si="10"/>
        <v>0</v>
      </c>
      <c r="Q31" s="85">
        <v>0</v>
      </c>
      <c r="R31" s="85">
        <f t="shared" si="12"/>
        <v>0</v>
      </c>
      <c r="S31" s="85">
        <v>0</v>
      </c>
      <c r="T31" s="85">
        <v>0</v>
      </c>
      <c r="U31" s="85">
        <f t="shared" si="13"/>
        <v>0</v>
      </c>
      <c r="V31" s="85">
        <v>0</v>
      </c>
      <c r="W31" s="85">
        <v>0</v>
      </c>
      <c r="X31" s="83">
        <v>0</v>
      </c>
      <c r="Y31" s="349">
        <f>22000-22000</f>
        <v>0</v>
      </c>
      <c r="Z31" s="83">
        <v>0</v>
      </c>
      <c r="AA31" s="83">
        <v>0</v>
      </c>
      <c r="AB31" s="83">
        <v>0</v>
      </c>
      <c r="AC31" s="83">
        <v>0</v>
      </c>
      <c r="AD31" s="85">
        <v>0</v>
      </c>
      <c r="AE31" s="85">
        <v>0</v>
      </c>
      <c r="AF31" s="85">
        <v>0</v>
      </c>
      <c r="AG31" s="85">
        <v>0</v>
      </c>
      <c r="AH31" s="85">
        <v>0</v>
      </c>
      <c r="AI31" s="85">
        <f>SUM('FY 09-11 DD 1416 Tracker-Total'!AU84)</f>
        <v>0</v>
      </c>
      <c r="AJ31" s="85">
        <f t="shared" si="15"/>
        <v>0</v>
      </c>
      <c r="AK31" s="121"/>
      <c r="AL31" s="83">
        <f>SUM('FY 09-11 DD 1416 Tracker-Total'!AX84)</f>
        <v>22000</v>
      </c>
      <c r="AM31" s="85">
        <f>SUM('FY 09-11 DD 1416 Tracker-Total'!AY84)</f>
        <v>22000</v>
      </c>
      <c r="AN31" s="86">
        <f t="shared" si="14"/>
        <v>0</v>
      </c>
      <c r="AO31" s="15"/>
      <c r="AP31" s="14" t="s">
        <v>186</v>
      </c>
      <c r="AQ31" s="13" t="s">
        <v>186</v>
      </c>
    </row>
    <row r="32" spans="1:43" s="14" customFormat="1" ht="12.75">
      <c r="A32" s="87"/>
      <c r="B32" s="88"/>
      <c r="C32" s="88"/>
      <c r="D32" s="88"/>
      <c r="E32" s="90" t="s">
        <v>288</v>
      </c>
      <c r="F32" s="85">
        <f>SUM(F22:F31)</f>
        <v>29354</v>
      </c>
      <c r="G32" s="85">
        <f>SUM(G22:G31)</f>
        <v>0</v>
      </c>
      <c r="H32" s="85">
        <f>SUM(H22:H31)</f>
        <v>29354</v>
      </c>
      <c r="I32" s="85">
        <f>SUM(I22:I30)</f>
        <v>0</v>
      </c>
      <c r="J32" s="84">
        <f>SUM(J22:J31)</f>
        <v>29354</v>
      </c>
      <c r="K32" s="85"/>
      <c r="L32" s="85">
        <f>SUM(L22:L31)</f>
        <v>0</v>
      </c>
      <c r="M32" s="85">
        <f>SUM(M22:M31)</f>
        <v>-85</v>
      </c>
      <c r="N32" s="84">
        <f>SUM(N22:N31)</f>
        <v>29269</v>
      </c>
      <c r="O32" s="85"/>
      <c r="P32" s="85">
        <f aca="true" t="shared" si="16" ref="P32:AJ32">SUM(P22:P31)</f>
        <v>29354</v>
      </c>
      <c r="Q32" s="85">
        <f t="shared" si="16"/>
        <v>29354</v>
      </c>
      <c r="R32" s="85">
        <f t="shared" si="16"/>
        <v>-85</v>
      </c>
      <c r="S32" s="85">
        <f t="shared" si="16"/>
        <v>0</v>
      </c>
      <c r="T32" s="85">
        <f t="shared" si="16"/>
        <v>5194</v>
      </c>
      <c r="U32" s="85">
        <f t="shared" si="16"/>
        <v>34463</v>
      </c>
      <c r="V32" s="85">
        <f t="shared" si="16"/>
        <v>0</v>
      </c>
      <c r="W32" s="85">
        <f t="shared" si="16"/>
        <v>0</v>
      </c>
      <c r="X32" s="85">
        <f t="shared" si="16"/>
        <v>0</v>
      </c>
      <c r="Y32" s="85">
        <f t="shared" si="16"/>
        <v>0</v>
      </c>
      <c r="Z32" s="85">
        <f t="shared" si="16"/>
        <v>0</v>
      </c>
      <c r="AA32" s="85">
        <f t="shared" si="16"/>
        <v>0</v>
      </c>
      <c r="AB32" s="85">
        <f t="shared" si="16"/>
        <v>0</v>
      </c>
      <c r="AC32" s="85">
        <f t="shared" si="16"/>
        <v>300</v>
      </c>
      <c r="AD32" s="85">
        <f t="shared" si="16"/>
        <v>0</v>
      </c>
      <c r="AE32" s="85">
        <f t="shared" si="16"/>
        <v>25000</v>
      </c>
      <c r="AF32" s="85">
        <f t="shared" si="16"/>
        <v>0</v>
      </c>
      <c r="AG32" s="85">
        <f t="shared" si="16"/>
        <v>0</v>
      </c>
      <c r="AH32" s="85">
        <f t="shared" si="16"/>
        <v>0</v>
      </c>
      <c r="AI32" s="85">
        <f t="shared" si="16"/>
        <v>0</v>
      </c>
      <c r="AJ32" s="85">
        <f t="shared" si="16"/>
        <v>59763</v>
      </c>
      <c r="AK32" s="121"/>
      <c r="AL32" s="83">
        <f>SUM(AL22:AL31)</f>
        <v>116408</v>
      </c>
      <c r="AM32" s="83">
        <f>SUM(AM22:AM31)</f>
        <v>116408</v>
      </c>
      <c r="AN32" s="114">
        <f>SUM(AN22:AN31)</f>
        <v>0</v>
      </c>
      <c r="AO32" s="15"/>
      <c r="AP32" s="14" t="s">
        <v>186</v>
      </c>
      <c r="AQ32" s="13" t="s">
        <v>186</v>
      </c>
    </row>
    <row r="33" spans="1:43" s="14" customFormat="1" ht="12.75">
      <c r="A33" s="87"/>
      <c r="B33" s="88"/>
      <c r="C33" s="88"/>
      <c r="D33" s="88"/>
      <c r="E33" s="90"/>
      <c r="F33" s="85"/>
      <c r="G33" s="85"/>
      <c r="H33" s="85"/>
      <c r="I33" s="85"/>
      <c r="J33" s="84"/>
      <c r="K33" s="85"/>
      <c r="L33" s="85"/>
      <c r="M33" s="85"/>
      <c r="N33" s="84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121"/>
      <c r="AL33" s="83"/>
      <c r="AM33" s="85"/>
      <c r="AN33" s="86"/>
      <c r="AO33" s="15"/>
      <c r="AQ33" s="13"/>
    </row>
    <row r="34" spans="1:43" s="14" customFormat="1" ht="12.75">
      <c r="A34" s="131" t="s">
        <v>1</v>
      </c>
      <c r="B34" s="88">
        <v>3</v>
      </c>
      <c r="C34" s="89" t="s">
        <v>30</v>
      </c>
      <c r="D34" s="88">
        <v>45</v>
      </c>
      <c r="E34" s="90" t="s">
        <v>286</v>
      </c>
      <c r="F34" s="85">
        <f>SUM('FY 09-11 DD 1416 Tracker-Total'!F87)</f>
        <v>255086</v>
      </c>
      <c r="G34" s="85">
        <f>SUM('FY 09-11 DD 1416 Tracker-Total'!G87)</f>
        <v>2000</v>
      </c>
      <c r="H34" s="85">
        <f>SUM(F34:G34)</f>
        <v>257086</v>
      </c>
      <c r="I34" s="85">
        <f>SUM('FY 09-11 DD 1416 Tracker-Total'!I87)</f>
        <v>0</v>
      </c>
      <c r="J34" s="84">
        <f>SUM(H34:I34)</f>
        <v>257086</v>
      </c>
      <c r="K34" s="85"/>
      <c r="L34" s="85">
        <v>0</v>
      </c>
      <c r="M34" s="85">
        <f>SUM('FY 09-11 DD 1416 Tracker-Total'!M87)</f>
        <v>-758</v>
      </c>
      <c r="N34" s="84">
        <f>SUM(J34:M34)</f>
        <v>256328</v>
      </c>
      <c r="O34" s="85"/>
      <c r="P34" s="85">
        <f>SUM(F34)</f>
        <v>255086</v>
      </c>
      <c r="Q34" s="85">
        <f>SUM(J34)</f>
        <v>257086</v>
      </c>
      <c r="R34" s="85">
        <f>SUM(L34+M34)</f>
        <v>-758</v>
      </c>
      <c r="S34" s="85">
        <v>0</v>
      </c>
      <c r="T34" s="85">
        <f>SUM('FY 09-11 DD 1416 Tracker-Total'!X87)-2000</f>
        <v>0</v>
      </c>
      <c r="U34" s="85">
        <f>SUM(Q34:T34)</f>
        <v>256328</v>
      </c>
      <c r="V34" s="85">
        <v>0</v>
      </c>
      <c r="W34" s="85">
        <v>0</v>
      </c>
      <c r="X34" s="83">
        <f>2000-2000</f>
        <v>0</v>
      </c>
      <c r="Y34" s="83">
        <f>19367-19367</f>
        <v>0</v>
      </c>
      <c r="Z34" s="83">
        <v>0</v>
      </c>
      <c r="AA34" s="85">
        <f>SUM('FY 09-11 DD 1416 Tracker-Total'!AA87)</f>
        <v>0</v>
      </c>
      <c r="AB34" s="85">
        <v>0</v>
      </c>
      <c r="AC34" s="85">
        <v>0</v>
      </c>
      <c r="AD34" s="85">
        <v>0</v>
      </c>
      <c r="AE34" s="85">
        <v>0</v>
      </c>
      <c r="AF34" s="85">
        <v>0</v>
      </c>
      <c r="AG34" s="85">
        <v>0</v>
      </c>
      <c r="AH34" s="85">
        <v>0</v>
      </c>
      <c r="AI34" s="85">
        <f>SUM('FY 09-11 DD 1416 Tracker-Total'!AU87)</f>
        <v>0</v>
      </c>
      <c r="AJ34" s="85">
        <f>SUM(U34:AI34)</f>
        <v>256328</v>
      </c>
      <c r="AK34" s="121"/>
      <c r="AL34" s="83">
        <f>SUM('FY 09-11 DD 1416 Tracker-Total'!AX87)</f>
        <v>276295</v>
      </c>
      <c r="AM34" s="85">
        <f>SUM('FY 09-11 DD 1416 Tracker-Total'!AY87)</f>
        <v>276295</v>
      </c>
      <c r="AN34" s="86">
        <f>SUM(AM34-AL34)</f>
        <v>0</v>
      </c>
      <c r="AO34" s="15"/>
      <c r="AP34" s="14" t="s">
        <v>186</v>
      </c>
      <c r="AQ34" s="13" t="s">
        <v>186</v>
      </c>
    </row>
    <row r="35" spans="1:43" s="14" customFormat="1" ht="12.75">
      <c r="A35" s="131"/>
      <c r="B35" s="88"/>
      <c r="C35" s="89"/>
      <c r="D35" s="88">
        <v>45</v>
      </c>
      <c r="E35" s="90" t="s">
        <v>286</v>
      </c>
      <c r="F35" s="85">
        <f>SUM('FY 09-11 DD 1416 Tracker-Total'!F88)</f>
        <v>3815</v>
      </c>
      <c r="G35" s="85">
        <f>SUM('FY 09-11 DD 1416 Tracker-Total'!G88)</f>
        <v>0</v>
      </c>
      <c r="H35" s="85">
        <f>SUM(F35:G35)</f>
        <v>3815</v>
      </c>
      <c r="I35" s="85">
        <f>SUM('FY 09-11 DD 1416 Tracker-Total'!I88)</f>
        <v>0</v>
      </c>
      <c r="J35" s="84">
        <f>SUM(H35:I35)</f>
        <v>3815</v>
      </c>
      <c r="K35" s="85"/>
      <c r="L35" s="85">
        <v>0</v>
      </c>
      <c r="M35" s="85">
        <f>SUM('FY 09-11 DD 1416 Tracker-Total'!M88)</f>
        <v>-11</v>
      </c>
      <c r="N35" s="84">
        <f>SUM(J35:M35)</f>
        <v>3804</v>
      </c>
      <c r="O35" s="85"/>
      <c r="P35" s="85">
        <f>SUM(F35)</f>
        <v>3815</v>
      </c>
      <c r="Q35" s="85">
        <f>SUM(J35)</f>
        <v>3815</v>
      </c>
      <c r="R35" s="85">
        <f>SUM(L35+M35)</f>
        <v>-11</v>
      </c>
      <c r="S35" s="85">
        <v>0</v>
      </c>
      <c r="T35" s="85">
        <f>SUM('FY 09-11 DD 1416 Tracker-Total'!X88)-863</f>
        <v>2000</v>
      </c>
      <c r="U35" s="85">
        <f>SUM(Q35:T35)</f>
        <v>5804</v>
      </c>
      <c r="V35" s="85">
        <v>0</v>
      </c>
      <c r="W35" s="85">
        <v>0</v>
      </c>
      <c r="X35" s="83">
        <v>2863</v>
      </c>
      <c r="Y35" s="83">
        <v>0</v>
      </c>
      <c r="Z35" s="83">
        <v>0</v>
      </c>
      <c r="AA35" s="85">
        <f>SUM('FY 09-11 DD 1416 Tracker-Total'!AA88)</f>
        <v>0</v>
      </c>
      <c r="AB35" s="85">
        <v>-2000</v>
      </c>
      <c r="AC35" s="85">
        <v>0</v>
      </c>
      <c r="AD35" s="85">
        <v>0</v>
      </c>
      <c r="AE35" s="85">
        <v>0</v>
      </c>
      <c r="AF35" s="85">
        <v>0</v>
      </c>
      <c r="AG35" s="85">
        <v>0</v>
      </c>
      <c r="AH35" s="85">
        <v>0</v>
      </c>
      <c r="AI35" s="85">
        <f>SUM(AM35-AL35)</f>
        <v>0</v>
      </c>
      <c r="AJ35" s="85">
        <f>SUM(U35:AI35)</f>
        <v>6667</v>
      </c>
      <c r="AK35" s="121"/>
      <c r="AL35" s="83">
        <f>SUM('FY 09-11 DD 1416 Tracker-Total'!AX88)</f>
        <v>8067</v>
      </c>
      <c r="AM35" s="85">
        <f>SUM('FY 09-11 DD 1416 Tracker-Total'!AY88)</f>
        <v>8067</v>
      </c>
      <c r="AN35" s="86">
        <f>SUM(AM35-AL35)</f>
        <v>0</v>
      </c>
      <c r="AO35" s="15"/>
      <c r="AP35" s="14" t="s">
        <v>186</v>
      </c>
      <c r="AQ35" s="13" t="s">
        <v>186</v>
      </c>
    </row>
    <row r="36" spans="1:43" s="14" customFormat="1" ht="12.75">
      <c r="A36" s="87"/>
      <c r="B36" s="88"/>
      <c r="C36" s="88"/>
      <c r="D36" s="88"/>
      <c r="E36" s="90" t="s">
        <v>287</v>
      </c>
      <c r="F36" s="85">
        <f>SUM(F34:F35)</f>
        <v>258901</v>
      </c>
      <c r="G36" s="85">
        <f>SUM(G34:G35)</f>
        <v>2000</v>
      </c>
      <c r="H36" s="85">
        <f>SUM(H34:H35)</f>
        <v>260901</v>
      </c>
      <c r="I36" s="85">
        <f>SUM(I34:I35)</f>
        <v>0</v>
      </c>
      <c r="J36" s="84">
        <f>SUM(J34:J35)</f>
        <v>260901</v>
      </c>
      <c r="K36" s="85"/>
      <c r="L36" s="85">
        <f>SUM(L34:L35)</f>
        <v>0</v>
      </c>
      <c r="M36" s="85">
        <f>SUM(M34:M35)</f>
        <v>-769</v>
      </c>
      <c r="N36" s="84">
        <f>SUM(N34:N35)</f>
        <v>260132</v>
      </c>
      <c r="O36" s="85"/>
      <c r="P36" s="85">
        <f>SUM(P34:P35)</f>
        <v>258901</v>
      </c>
      <c r="Q36" s="85">
        <f aca="true" t="shared" si="17" ref="Q36:AA36">SUM(Q34:Q35)</f>
        <v>260901</v>
      </c>
      <c r="R36" s="85">
        <f t="shared" si="17"/>
        <v>-769</v>
      </c>
      <c r="S36" s="85">
        <f t="shared" si="17"/>
        <v>0</v>
      </c>
      <c r="T36" s="85">
        <f t="shared" si="17"/>
        <v>2000</v>
      </c>
      <c r="U36" s="85">
        <f t="shared" si="17"/>
        <v>262132</v>
      </c>
      <c r="V36" s="85">
        <f t="shared" si="17"/>
        <v>0</v>
      </c>
      <c r="W36" s="85">
        <f t="shared" si="17"/>
        <v>0</v>
      </c>
      <c r="X36" s="85">
        <f>SUM(X34:X35)</f>
        <v>2863</v>
      </c>
      <c r="Y36" s="85">
        <f>SUM(Y34:Y35)</f>
        <v>0</v>
      </c>
      <c r="Z36" s="85">
        <f>SUM(Z34:Z35)</f>
        <v>0</v>
      </c>
      <c r="AA36" s="85">
        <f t="shared" si="17"/>
        <v>0</v>
      </c>
      <c r="AB36" s="85">
        <f>SUM(AB34:AB35)</f>
        <v>-2000</v>
      </c>
      <c r="AC36" s="85">
        <f aca="true" t="shared" si="18" ref="AC36:AI36">SUM(AC34:AC35)</f>
        <v>0</v>
      </c>
      <c r="AD36" s="85">
        <f t="shared" si="18"/>
        <v>0</v>
      </c>
      <c r="AE36" s="85">
        <f t="shared" si="18"/>
        <v>0</v>
      </c>
      <c r="AF36" s="85">
        <f t="shared" si="18"/>
        <v>0</v>
      </c>
      <c r="AG36" s="85">
        <f t="shared" si="18"/>
        <v>0</v>
      </c>
      <c r="AH36" s="85">
        <f t="shared" si="18"/>
        <v>0</v>
      </c>
      <c r="AI36" s="85">
        <f t="shared" si="18"/>
        <v>0</v>
      </c>
      <c r="AJ36" s="85">
        <f>SUM(AJ34:AJ35)</f>
        <v>262995</v>
      </c>
      <c r="AK36" s="121"/>
      <c r="AL36" s="83">
        <f>SUM(AL34:AL35)</f>
        <v>284362</v>
      </c>
      <c r="AM36" s="85">
        <f>SUM(AM34:AM35)</f>
        <v>284362</v>
      </c>
      <c r="AN36" s="86">
        <f>SUM(AN34)</f>
        <v>0</v>
      </c>
      <c r="AO36" s="15"/>
      <c r="AP36" s="14" t="s">
        <v>186</v>
      </c>
      <c r="AQ36" s="13" t="s">
        <v>186</v>
      </c>
    </row>
    <row r="37" spans="1:40" ht="12.75">
      <c r="A37" s="151"/>
      <c r="B37" s="152"/>
      <c r="C37" s="152"/>
      <c r="D37" s="152"/>
      <c r="E37" s="158"/>
      <c r="F37" s="157"/>
      <c r="G37" s="157"/>
      <c r="H37" s="157"/>
      <c r="I37" s="157"/>
      <c r="J37" s="173"/>
      <c r="K37" s="157"/>
      <c r="L37" s="157"/>
      <c r="M37" s="157"/>
      <c r="N37" s="173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5"/>
      <c r="AL37" s="167"/>
      <c r="AM37" s="157"/>
      <c r="AN37" s="156"/>
    </row>
    <row r="38" spans="1:43" s="14" customFormat="1" ht="12.75">
      <c r="A38" s="87"/>
      <c r="B38" s="88"/>
      <c r="C38" s="88"/>
      <c r="D38" s="88"/>
      <c r="E38" s="90" t="s">
        <v>247</v>
      </c>
      <c r="F38" s="85">
        <f>SUM(F20+F32+F36)</f>
        <v>663148</v>
      </c>
      <c r="G38" s="85">
        <f>SUM(G20+G32+G36)</f>
        <v>-23000</v>
      </c>
      <c r="H38" s="85">
        <f>SUM(H20+H32+H36)</f>
        <v>640148</v>
      </c>
      <c r="I38" s="85">
        <f>SUM(I20+I32+I36)</f>
        <v>0</v>
      </c>
      <c r="J38" s="84">
        <f>SUM(J20+J32+J36)</f>
        <v>640148</v>
      </c>
      <c r="K38" s="85"/>
      <c r="L38" s="85">
        <f>SUM(L20+L32+L36)</f>
        <v>0</v>
      </c>
      <c r="M38" s="85">
        <f>SUM(M20+M32+M36)</f>
        <v>-1888</v>
      </c>
      <c r="N38" s="84">
        <f>SUM(N20+N32+N36)</f>
        <v>638260</v>
      </c>
      <c r="O38" s="85"/>
      <c r="P38" s="85">
        <f aca="true" t="shared" si="19" ref="P38:AJ38">SUM(P20+P32+P36)</f>
        <v>663148</v>
      </c>
      <c r="Q38" s="85">
        <f t="shared" si="19"/>
        <v>640148</v>
      </c>
      <c r="R38" s="85">
        <f t="shared" si="19"/>
        <v>-1888</v>
      </c>
      <c r="S38" s="85">
        <f t="shared" si="19"/>
        <v>0</v>
      </c>
      <c r="T38" s="85">
        <f t="shared" si="19"/>
        <v>62354</v>
      </c>
      <c r="U38" s="85">
        <f t="shared" si="19"/>
        <v>700614</v>
      </c>
      <c r="V38" s="85">
        <f t="shared" si="19"/>
        <v>0</v>
      </c>
      <c r="W38" s="85">
        <f t="shared" si="19"/>
        <v>0</v>
      </c>
      <c r="X38" s="85">
        <f t="shared" si="19"/>
        <v>2863</v>
      </c>
      <c r="Y38" s="85">
        <f t="shared" si="19"/>
        <v>0</v>
      </c>
      <c r="Z38" s="85">
        <f t="shared" si="19"/>
        <v>0</v>
      </c>
      <c r="AA38" s="85">
        <f t="shared" si="19"/>
        <v>0</v>
      </c>
      <c r="AB38" s="85">
        <f t="shared" si="19"/>
        <v>-2000</v>
      </c>
      <c r="AC38" s="85">
        <f t="shared" si="19"/>
        <v>300</v>
      </c>
      <c r="AD38" s="85">
        <f t="shared" si="19"/>
        <v>0</v>
      </c>
      <c r="AE38" s="85">
        <f t="shared" si="19"/>
        <v>31400</v>
      </c>
      <c r="AF38" s="85">
        <f t="shared" si="19"/>
        <v>-29911</v>
      </c>
      <c r="AG38" s="85">
        <f t="shared" si="19"/>
        <v>0</v>
      </c>
      <c r="AH38" s="85">
        <f t="shared" si="19"/>
        <v>0</v>
      </c>
      <c r="AI38" s="85">
        <f t="shared" si="19"/>
        <v>63059</v>
      </c>
      <c r="AJ38" s="85">
        <f t="shared" si="19"/>
        <v>766325</v>
      </c>
      <c r="AK38" s="121"/>
      <c r="AL38" s="85">
        <f>SUM(AL20+AL32+AL36)</f>
        <v>947536</v>
      </c>
      <c r="AM38" s="85">
        <f>SUM(AM20+AM32+AM36)</f>
        <v>947536</v>
      </c>
      <c r="AN38" s="86">
        <f>SUM(AN20+AN32+AN36)</f>
        <v>0</v>
      </c>
      <c r="AO38" s="15"/>
      <c r="AP38" s="14" t="s">
        <v>186</v>
      </c>
      <c r="AQ38" s="13" t="s">
        <v>186</v>
      </c>
    </row>
    <row r="39" spans="1:40" ht="12.75">
      <c r="A39" s="151"/>
      <c r="B39" s="152"/>
      <c r="C39" s="152"/>
      <c r="D39" s="152"/>
      <c r="E39" s="158"/>
      <c r="F39" s="157"/>
      <c r="G39" s="157"/>
      <c r="H39" s="157"/>
      <c r="I39" s="157"/>
      <c r="J39" s="167"/>
      <c r="K39" s="157"/>
      <c r="L39" s="157"/>
      <c r="M39" s="157"/>
      <c r="N39" s="16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5"/>
      <c r="AL39" s="167"/>
      <c r="AM39" s="157"/>
      <c r="AN39" s="156"/>
    </row>
    <row r="40" spans="1:43" ht="12.75">
      <c r="A40" s="174"/>
      <c r="B40" s="175"/>
      <c r="C40" s="175"/>
      <c r="D40" s="175"/>
      <c r="E40" s="176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55"/>
      <c r="AL40" s="177"/>
      <c r="AM40" s="177"/>
      <c r="AN40" s="178"/>
      <c r="AO40" s="200"/>
      <c r="AP40" s="201"/>
      <c r="AQ40" s="202"/>
    </row>
    <row r="41" spans="1:40" ht="12.75">
      <c r="A41" s="151"/>
      <c r="B41" s="152"/>
      <c r="C41" s="152"/>
      <c r="D41" s="152"/>
      <c r="E41" s="158"/>
      <c r="F41" s="157"/>
      <c r="G41" s="157"/>
      <c r="H41" s="157"/>
      <c r="I41" s="157"/>
      <c r="J41" s="167"/>
      <c r="K41" s="157"/>
      <c r="L41" s="157"/>
      <c r="M41" s="157"/>
      <c r="N41" s="173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5"/>
      <c r="AL41" s="167"/>
      <c r="AM41" s="157"/>
      <c r="AN41" s="156"/>
    </row>
    <row r="42" spans="1:43" s="14" customFormat="1" ht="12.75">
      <c r="A42" s="131" t="s">
        <v>1</v>
      </c>
      <c r="B42" s="88">
        <v>4</v>
      </c>
      <c r="C42" s="89" t="s">
        <v>128</v>
      </c>
      <c r="D42" s="88">
        <v>84</v>
      </c>
      <c r="E42" s="90" t="s">
        <v>286</v>
      </c>
      <c r="F42" s="85">
        <f>SUM('FY 09-11 DD 1416 Tracker-Total'!F130)</f>
        <v>8231</v>
      </c>
      <c r="G42" s="85">
        <v>0</v>
      </c>
      <c r="H42" s="85">
        <f>SUM(F42:G42)</f>
        <v>8231</v>
      </c>
      <c r="I42" s="85">
        <f>SUM('FY 09-11 DD 1416 Tracker-Total'!I130)</f>
        <v>0</v>
      </c>
      <c r="J42" s="84">
        <f>SUM(H42:I42)</f>
        <v>8231</v>
      </c>
      <c r="K42" s="85"/>
      <c r="L42" s="85">
        <v>0</v>
      </c>
      <c r="M42" s="85">
        <f>SUM('FY 09-11 DD 1416 Tracker-Total'!M130)</f>
        <v>-24</v>
      </c>
      <c r="N42" s="84">
        <f>SUM(J42:M42)</f>
        <v>8207</v>
      </c>
      <c r="O42" s="85"/>
      <c r="P42" s="85">
        <f>SUM(F42)</f>
        <v>8231</v>
      </c>
      <c r="Q42" s="85">
        <f>SUM(J42)</f>
        <v>8231</v>
      </c>
      <c r="R42" s="85">
        <f>SUM(L42+M42)</f>
        <v>-24</v>
      </c>
      <c r="S42" s="85">
        <v>0</v>
      </c>
      <c r="T42" s="85">
        <f>SUM('FY 09-11 DD 1416 Tracker-Total'!X130)</f>
        <v>1380</v>
      </c>
      <c r="U42" s="85">
        <f>SUM(Q42:T42)</f>
        <v>9587</v>
      </c>
      <c r="V42" s="85">
        <v>0</v>
      </c>
      <c r="W42" s="85">
        <f>SUM('FY 09-11 DD 1416 Tracker-Total'!W130)</f>
        <v>0</v>
      </c>
      <c r="X42" s="85">
        <v>0</v>
      </c>
      <c r="Y42" s="85">
        <v>0</v>
      </c>
      <c r="Z42" s="85">
        <v>0</v>
      </c>
      <c r="AA42" s="85">
        <f>SUM('FY 09-11 DD 1416 Tracker-Total'!AA130)</f>
        <v>0</v>
      </c>
      <c r="AB42" s="85">
        <v>0</v>
      </c>
      <c r="AC42" s="85">
        <v>0</v>
      </c>
      <c r="AD42" s="85">
        <v>0</v>
      </c>
      <c r="AE42" s="85">
        <v>0</v>
      </c>
      <c r="AF42" s="85">
        <v>0</v>
      </c>
      <c r="AG42" s="85">
        <v>0</v>
      </c>
      <c r="AH42" s="85">
        <v>0</v>
      </c>
      <c r="AI42" s="85">
        <f>SUM(AM42-AL42)</f>
        <v>0</v>
      </c>
      <c r="AJ42" s="85">
        <f>SUM(U42:AI42)</f>
        <v>9587</v>
      </c>
      <c r="AK42" s="121"/>
      <c r="AL42" s="83">
        <f>SUM('FY 09-11 DD 1416 Tracker-Total'!AX130)</f>
        <v>9587</v>
      </c>
      <c r="AM42" s="83">
        <f>SUM('FY 09-11 DD 1416 Tracker-Total'!AY130)</f>
        <v>9587</v>
      </c>
      <c r="AN42" s="86">
        <f>SUM(AM42-AL42)</f>
        <v>0</v>
      </c>
      <c r="AO42" s="15"/>
      <c r="AP42" s="14" t="s">
        <v>186</v>
      </c>
      <c r="AQ42" s="13" t="s">
        <v>186</v>
      </c>
    </row>
    <row r="43" spans="1:43" s="14" customFormat="1" ht="12.75">
      <c r="A43" s="87"/>
      <c r="B43" s="88"/>
      <c r="C43" s="88"/>
      <c r="D43" s="88"/>
      <c r="E43" s="90" t="s">
        <v>141</v>
      </c>
      <c r="F43" s="85">
        <f>SUM(F42)</f>
        <v>8231</v>
      </c>
      <c r="G43" s="85">
        <f>SUM(G42)</f>
        <v>0</v>
      </c>
      <c r="H43" s="85">
        <f>SUM(H42)</f>
        <v>8231</v>
      </c>
      <c r="I43" s="85">
        <f>SUM(I42)</f>
        <v>0</v>
      </c>
      <c r="J43" s="84">
        <f>SUM(H43:I43)</f>
        <v>8231</v>
      </c>
      <c r="K43" s="85"/>
      <c r="L43" s="85">
        <f>SUM(L42)</f>
        <v>0</v>
      </c>
      <c r="M43" s="85">
        <f>SUM(M42:M42)</f>
        <v>-24</v>
      </c>
      <c r="N43" s="84">
        <f>SUM(N42:N42)</f>
        <v>8207</v>
      </c>
      <c r="O43" s="85"/>
      <c r="P43" s="85">
        <f aca="true" t="shared" si="20" ref="P43:AJ43">SUM(P42:P42)</f>
        <v>8231</v>
      </c>
      <c r="Q43" s="85">
        <f t="shared" si="20"/>
        <v>8231</v>
      </c>
      <c r="R43" s="85">
        <f t="shared" si="20"/>
        <v>-24</v>
      </c>
      <c r="S43" s="85">
        <f t="shared" si="20"/>
        <v>0</v>
      </c>
      <c r="T43" s="85">
        <f t="shared" si="20"/>
        <v>1380</v>
      </c>
      <c r="U43" s="85">
        <f t="shared" si="20"/>
        <v>9587</v>
      </c>
      <c r="V43" s="85">
        <f t="shared" si="20"/>
        <v>0</v>
      </c>
      <c r="W43" s="85">
        <f t="shared" si="20"/>
        <v>0</v>
      </c>
      <c r="X43" s="85">
        <f>SUM(X42)</f>
        <v>0</v>
      </c>
      <c r="Y43" s="85">
        <f>SUM(Y42)</f>
        <v>0</v>
      </c>
      <c r="Z43" s="85">
        <f>SUM(Z42)</f>
        <v>0</v>
      </c>
      <c r="AA43" s="85">
        <f t="shared" si="20"/>
        <v>0</v>
      </c>
      <c r="AB43" s="85">
        <f t="shared" si="20"/>
        <v>0</v>
      </c>
      <c r="AC43" s="85">
        <f aca="true" t="shared" si="21" ref="AC43:AH43">SUM(AC42:AC42)</f>
        <v>0</v>
      </c>
      <c r="AD43" s="85">
        <f t="shared" si="21"/>
        <v>0</v>
      </c>
      <c r="AE43" s="85">
        <f t="shared" si="21"/>
        <v>0</v>
      </c>
      <c r="AF43" s="85">
        <f t="shared" si="21"/>
        <v>0</v>
      </c>
      <c r="AG43" s="85">
        <f t="shared" si="21"/>
        <v>0</v>
      </c>
      <c r="AH43" s="85">
        <f t="shared" si="21"/>
        <v>0</v>
      </c>
      <c r="AI43" s="85">
        <f t="shared" si="20"/>
        <v>0</v>
      </c>
      <c r="AJ43" s="85">
        <f t="shared" si="20"/>
        <v>9587</v>
      </c>
      <c r="AK43" s="121"/>
      <c r="AL43" s="83">
        <f>SUM(AL42:AL42)</f>
        <v>9587</v>
      </c>
      <c r="AM43" s="85">
        <f>SUM(AM42:AM42)</f>
        <v>9587</v>
      </c>
      <c r="AN43" s="86">
        <f>SUM(AN42:AN42)</f>
        <v>0</v>
      </c>
      <c r="AO43" s="15"/>
      <c r="AP43" s="14" t="s">
        <v>186</v>
      </c>
      <c r="AQ43" s="13" t="s">
        <v>186</v>
      </c>
    </row>
    <row r="44" spans="1:43" ht="12.75">
      <c r="A44" s="151"/>
      <c r="B44" s="152"/>
      <c r="C44" s="152"/>
      <c r="D44" s="152"/>
      <c r="E44" s="158"/>
      <c r="F44" s="157"/>
      <c r="G44" s="157"/>
      <c r="H44" s="157"/>
      <c r="I44" s="157"/>
      <c r="J44" s="173"/>
      <c r="K44" s="157"/>
      <c r="L44" s="157"/>
      <c r="M44" s="157"/>
      <c r="N44" s="173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5"/>
      <c r="AL44" s="167"/>
      <c r="AM44" s="157"/>
      <c r="AN44" s="156"/>
      <c r="AP44" s="14" t="s">
        <v>186</v>
      </c>
      <c r="AQ44" s="13" t="s">
        <v>186</v>
      </c>
    </row>
    <row r="45" spans="1:43" s="14" customFormat="1" ht="12.75">
      <c r="A45" s="87"/>
      <c r="B45" s="88"/>
      <c r="C45" s="88"/>
      <c r="D45" s="88"/>
      <c r="E45" s="90" t="s">
        <v>246</v>
      </c>
      <c r="F45" s="85">
        <f>SUM(F43)</f>
        <v>8231</v>
      </c>
      <c r="G45" s="85">
        <f>SUM(G43)</f>
        <v>0</v>
      </c>
      <c r="H45" s="85">
        <f>SUM(H43)</f>
        <v>8231</v>
      </c>
      <c r="I45" s="85">
        <f>SUM(I43)</f>
        <v>0</v>
      </c>
      <c r="J45" s="84">
        <f>SUM(J43)</f>
        <v>8231</v>
      </c>
      <c r="K45" s="85"/>
      <c r="L45" s="83">
        <f>SUM(L43)</f>
        <v>0</v>
      </c>
      <c r="M45" s="83">
        <f>SUM(M43)</f>
        <v>-24</v>
      </c>
      <c r="N45" s="84">
        <f>SUM(N43)</f>
        <v>8207</v>
      </c>
      <c r="O45" s="85"/>
      <c r="P45" s="83">
        <f aca="true" t="shared" si="22" ref="P45:AN45">SUM(P43)</f>
        <v>8231</v>
      </c>
      <c r="Q45" s="83">
        <f t="shared" si="22"/>
        <v>8231</v>
      </c>
      <c r="R45" s="83">
        <f t="shared" si="22"/>
        <v>-24</v>
      </c>
      <c r="S45" s="83">
        <f t="shared" si="22"/>
        <v>0</v>
      </c>
      <c r="T45" s="83">
        <f t="shared" si="22"/>
        <v>1380</v>
      </c>
      <c r="U45" s="83">
        <f t="shared" si="22"/>
        <v>9587</v>
      </c>
      <c r="V45" s="83">
        <f t="shared" si="22"/>
        <v>0</v>
      </c>
      <c r="W45" s="83">
        <f t="shared" si="22"/>
        <v>0</v>
      </c>
      <c r="X45" s="83">
        <f t="shared" si="22"/>
        <v>0</v>
      </c>
      <c r="Y45" s="83">
        <f t="shared" si="22"/>
        <v>0</v>
      </c>
      <c r="Z45" s="83">
        <f t="shared" si="22"/>
        <v>0</v>
      </c>
      <c r="AA45" s="83">
        <f t="shared" si="22"/>
        <v>0</v>
      </c>
      <c r="AB45" s="83">
        <f t="shared" si="22"/>
        <v>0</v>
      </c>
      <c r="AC45" s="83">
        <f t="shared" si="22"/>
        <v>0</v>
      </c>
      <c r="AD45" s="83">
        <f>SUM(AD43)</f>
        <v>0</v>
      </c>
      <c r="AE45" s="83">
        <f>SUM(AE43)</f>
        <v>0</v>
      </c>
      <c r="AF45" s="83">
        <f>SUM(AF43)</f>
        <v>0</v>
      </c>
      <c r="AG45" s="83">
        <f>SUM(AG43)</f>
        <v>0</v>
      </c>
      <c r="AH45" s="83">
        <f t="shared" si="22"/>
        <v>0</v>
      </c>
      <c r="AI45" s="83">
        <f t="shared" si="22"/>
        <v>0</v>
      </c>
      <c r="AJ45" s="83">
        <f t="shared" si="22"/>
        <v>9587</v>
      </c>
      <c r="AK45" s="121"/>
      <c r="AL45" s="83">
        <f t="shared" si="22"/>
        <v>9587</v>
      </c>
      <c r="AM45" s="83">
        <f t="shared" si="22"/>
        <v>9587</v>
      </c>
      <c r="AN45" s="114">
        <f t="shared" si="22"/>
        <v>0</v>
      </c>
      <c r="AO45" s="15"/>
      <c r="AP45" s="14" t="s">
        <v>186</v>
      </c>
      <c r="AQ45" s="13" t="s">
        <v>186</v>
      </c>
    </row>
    <row r="46" spans="1:40" ht="12.75">
      <c r="A46" s="151"/>
      <c r="B46" s="152"/>
      <c r="C46" s="152"/>
      <c r="D46" s="152"/>
      <c r="E46" s="158"/>
      <c r="F46" s="157"/>
      <c r="G46" s="157"/>
      <c r="H46" s="157"/>
      <c r="I46" s="157"/>
      <c r="J46" s="16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5"/>
      <c r="AL46" s="167"/>
      <c r="AM46" s="157"/>
      <c r="AN46" s="156"/>
    </row>
    <row r="47" spans="1:43" ht="12.75">
      <c r="A47" s="174"/>
      <c r="B47" s="175"/>
      <c r="C47" s="175"/>
      <c r="D47" s="175"/>
      <c r="E47" s="176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55"/>
      <c r="AL47" s="177"/>
      <c r="AM47" s="177"/>
      <c r="AN47" s="178"/>
      <c r="AO47" s="200"/>
      <c r="AP47" s="201"/>
      <c r="AQ47" s="202"/>
    </row>
    <row r="48" spans="1:40" ht="12.75">
      <c r="A48" s="151"/>
      <c r="B48" s="152"/>
      <c r="C48" s="152"/>
      <c r="D48" s="152"/>
      <c r="E48" s="158"/>
      <c r="F48" s="157"/>
      <c r="G48" s="157"/>
      <c r="H48" s="157"/>
      <c r="I48" s="157"/>
      <c r="J48" s="16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5"/>
      <c r="AL48" s="167"/>
      <c r="AM48" s="157"/>
      <c r="AN48" s="156"/>
    </row>
    <row r="49" spans="1:43" s="14" customFormat="1" ht="12.75">
      <c r="A49" s="87"/>
      <c r="B49" s="88"/>
      <c r="C49" s="88"/>
      <c r="D49" s="88"/>
      <c r="E49" s="90" t="s">
        <v>178</v>
      </c>
      <c r="F49" s="85">
        <f>SUM(F38+F45)</f>
        <v>671379</v>
      </c>
      <c r="G49" s="85">
        <f aca="true" t="shared" si="23" ref="G49:AN49">SUM(G38+G45)</f>
        <v>-23000</v>
      </c>
      <c r="H49" s="85">
        <f t="shared" si="23"/>
        <v>648379</v>
      </c>
      <c r="I49" s="85">
        <f t="shared" si="23"/>
        <v>0</v>
      </c>
      <c r="J49" s="85">
        <f t="shared" si="23"/>
        <v>648379</v>
      </c>
      <c r="K49" s="85"/>
      <c r="L49" s="85">
        <f t="shared" si="23"/>
        <v>0</v>
      </c>
      <c r="M49" s="85">
        <f t="shared" si="23"/>
        <v>-1912</v>
      </c>
      <c r="N49" s="85">
        <f t="shared" si="23"/>
        <v>646467</v>
      </c>
      <c r="O49" s="85"/>
      <c r="P49" s="85">
        <f t="shared" si="23"/>
        <v>671379</v>
      </c>
      <c r="Q49" s="85">
        <f t="shared" si="23"/>
        <v>648379</v>
      </c>
      <c r="R49" s="85">
        <f t="shared" si="23"/>
        <v>-1912</v>
      </c>
      <c r="S49" s="85">
        <f t="shared" si="23"/>
        <v>0</v>
      </c>
      <c r="T49" s="85">
        <f t="shared" si="23"/>
        <v>63734</v>
      </c>
      <c r="U49" s="85">
        <f t="shared" si="23"/>
        <v>710201</v>
      </c>
      <c r="V49" s="85">
        <f t="shared" si="23"/>
        <v>0</v>
      </c>
      <c r="W49" s="85">
        <f t="shared" si="23"/>
        <v>0</v>
      </c>
      <c r="X49" s="85">
        <f t="shared" si="23"/>
        <v>2863</v>
      </c>
      <c r="Y49" s="85">
        <f t="shared" si="23"/>
        <v>0</v>
      </c>
      <c r="Z49" s="85">
        <f t="shared" si="23"/>
        <v>0</v>
      </c>
      <c r="AA49" s="85">
        <f t="shared" si="23"/>
        <v>0</v>
      </c>
      <c r="AB49" s="85">
        <f t="shared" si="23"/>
        <v>-2000</v>
      </c>
      <c r="AC49" s="85">
        <f t="shared" si="23"/>
        <v>300</v>
      </c>
      <c r="AD49" s="85">
        <f t="shared" si="23"/>
        <v>0</v>
      </c>
      <c r="AE49" s="85">
        <f t="shared" si="23"/>
        <v>31400</v>
      </c>
      <c r="AF49" s="85">
        <f t="shared" si="23"/>
        <v>-29911</v>
      </c>
      <c r="AG49" s="85">
        <f t="shared" si="23"/>
        <v>0</v>
      </c>
      <c r="AH49" s="85">
        <f t="shared" si="23"/>
        <v>0</v>
      </c>
      <c r="AI49" s="85">
        <f t="shared" si="23"/>
        <v>63059</v>
      </c>
      <c r="AJ49" s="85">
        <f>SUM(AJ38+AJ45)-1</f>
        <v>775911</v>
      </c>
      <c r="AK49" s="121"/>
      <c r="AL49" s="85">
        <f t="shared" si="23"/>
        <v>957123</v>
      </c>
      <c r="AM49" s="85">
        <f t="shared" si="23"/>
        <v>957123</v>
      </c>
      <c r="AN49" s="86">
        <f t="shared" si="23"/>
        <v>0</v>
      </c>
      <c r="AO49" s="15"/>
      <c r="AP49" s="14" t="s">
        <v>186</v>
      </c>
      <c r="AQ49" s="13" t="s">
        <v>186</v>
      </c>
    </row>
    <row r="50" spans="1:40" ht="12.75">
      <c r="A50" s="151"/>
      <c r="B50" s="152"/>
      <c r="C50" s="152"/>
      <c r="D50" s="152"/>
      <c r="E50" s="158"/>
      <c r="F50" s="157"/>
      <c r="G50" s="157"/>
      <c r="H50" s="157"/>
      <c r="I50" s="157"/>
      <c r="J50" s="16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5"/>
      <c r="AL50" s="167"/>
      <c r="AM50" s="157"/>
      <c r="AN50" s="156"/>
    </row>
    <row r="51" spans="1:43" ht="13.5" thickBot="1">
      <c r="A51" s="179"/>
      <c r="B51" s="180"/>
      <c r="C51" s="180"/>
      <c r="D51" s="180"/>
      <c r="E51" s="181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64"/>
      <c r="AL51" s="182"/>
      <c r="AM51" s="182"/>
      <c r="AN51" s="183"/>
      <c r="AO51" s="200"/>
      <c r="AP51" s="201"/>
      <c r="AQ51" s="202"/>
    </row>
    <row r="52" ht="13.5" thickBot="1"/>
    <row r="53" spans="1:40" ht="12.75">
      <c r="A53" s="203"/>
      <c r="B53" s="204"/>
      <c r="C53" s="204"/>
      <c r="D53" s="204"/>
      <c r="E53" s="205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7"/>
    </row>
    <row r="54" spans="1:40" ht="12.75">
      <c r="A54" s="208"/>
      <c r="B54" s="209"/>
      <c r="C54" s="209"/>
      <c r="D54" s="209"/>
      <c r="E54" s="210" t="s">
        <v>187</v>
      </c>
      <c r="F54" s="173">
        <v>671379</v>
      </c>
      <c r="G54" s="173">
        <v>-23000</v>
      </c>
      <c r="H54" s="173">
        <v>648379</v>
      </c>
      <c r="I54" s="173">
        <v>0</v>
      </c>
      <c r="J54" s="173">
        <v>648379</v>
      </c>
      <c r="K54" s="173"/>
      <c r="L54" s="173">
        <v>0</v>
      </c>
      <c r="M54" s="173">
        <v>-1912</v>
      </c>
      <c r="N54" s="173">
        <v>646467</v>
      </c>
      <c r="O54" s="173"/>
      <c r="P54" s="173">
        <v>671379</v>
      </c>
      <c r="Q54" s="173">
        <v>648379</v>
      </c>
      <c r="R54" s="173">
        <v>-1912</v>
      </c>
      <c r="S54" s="173">
        <v>0</v>
      </c>
      <c r="T54" s="173">
        <v>63734</v>
      </c>
      <c r="U54" s="173">
        <v>710201</v>
      </c>
      <c r="V54" s="173">
        <v>0</v>
      </c>
      <c r="W54" s="173">
        <v>0</v>
      </c>
      <c r="X54" s="173">
        <v>2863</v>
      </c>
      <c r="Y54" s="173">
        <v>0</v>
      </c>
      <c r="Z54" s="173">
        <v>0</v>
      </c>
      <c r="AA54" s="173">
        <v>0</v>
      </c>
      <c r="AB54" s="173">
        <v>-2000</v>
      </c>
      <c r="AC54" s="173">
        <v>300</v>
      </c>
      <c r="AD54" s="173">
        <v>0</v>
      </c>
      <c r="AE54" s="173">
        <v>31400</v>
      </c>
      <c r="AF54" s="173">
        <v>-29911</v>
      </c>
      <c r="AG54" s="173">
        <v>0</v>
      </c>
      <c r="AH54" s="173">
        <v>0</v>
      </c>
      <c r="AI54" s="173">
        <v>63059</v>
      </c>
      <c r="AJ54" s="173">
        <v>775911</v>
      </c>
      <c r="AK54" s="173"/>
      <c r="AL54" s="173">
        <v>957123</v>
      </c>
      <c r="AM54" s="173">
        <v>957123</v>
      </c>
      <c r="AN54" s="211">
        <v>0</v>
      </c>
    </row>
    <row r="55" spans="1:40" ht="12.75">
      <c r="A55" s="208"/>
      <c r="B55" s="209"/>
      <c r="C55" s="209"/>
      <c r="D55" s="209"/>
      <c r="E55" s="210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211"/>
    </row>
    <row r="56" spans="1:42" ht="13.5" thickBot="1">
      <c r="A56" s="212"/>
      <c r="B56" s="213"/>
      <c r="C56" s="213"/>
      <c r="D56" s="213"/>
      <c r="E56" s="214" t="s">
        <v>188</v>
      </c>
      <c r="F56" s="215">
        <f>SUM(F54-F49)</f>
        <v>0</v>
      </c>
      <c r="G56" s="215">
        <f>SUM(G54-G49)</f>
        <v>0</v>
      </c>
      <c r="H56" s="215">
        <f>SUM(H54-H49)</f>
        <v>0</v>
      </c>
      <c r="I56" s="215">
        <f>SUM(I54-I49)</f>
        <v>0</v>
      </c>
      <c r="J56" s="215">
        <f>SUM(J54-J49)</f>
        <v>0</v>
      </c>
      <c r="K56" s="215"/>
      <c r="L56" s="215">
        <f>SUM(L54-L49)</f>
        <v>0</v>
      </c>
      <c r="M56" s="215">
        <f aca="true" t="shared" si="24" ref="M56:AN56">SUM(M54-M49)</f>
        <v>0</v>
      </c>
      <c r="N56" s="215">
        <f t="shared" si="24"/>
        <v>0</v>
      </c>
      <c r="O56" s="215"/>
      <c r="P56" s="215">
        <f t="shared" si="24"/>
        <v>0</v>
      </c>
      <c r="Q56" s="215">
        <f t="shared" si="24"/>
        <v>0</v>
      </c>
      <c r="R56" s="215">
        <f t="shared" si="24"/>
        <v>0</v>
      </c>
      <c r="S56" s="215">
        <f t="shared" si="24"/>
        <v>0</v>
      </c>
      <c r="T56" s="215">
        <f t="shared" si="24"/>
        <v>0</v>
      </c>
      <c r="U56" s="215">
        <f t="shared" si="24"/>
        <v>0</v>
      </c>
      <c r="V56" s="215">
        <f t="shared" si="24"/>
        <v>0</v>
      </c>
      <c r="W56" s="215">
        <f t="shared" si="24"/>
        <v>0</v>
      </c>
      <c r="X56" s="215">
        <f t="shared" si="24"/>
        <v>0</v>
      </c>
      <c r="Y56" s="215">
        <f t="shared" si="24"/>
        <v>0</v>
      </c>
      <c r="Z56" s="215">
        <f>SUM(Z54-Z49)</f>
        <v>0</v>
      </c>
      <c r="AA56" s="215">
        <f t="shared" si="24"/>
        <v>0</v>
      </c>
      <c r="AB56" s="215">
        <f t="shared" si="24"/>
        <v>0</v>
      </c>
      <c r="AC56" s="215">
        <f t="shared" si="24"/>
        <v>0</v>
      </c>
      <c r="AD56" s="215">
        <f t="shared" si="24"/>
        <v>0</v>
      </c>
      <c r="AE56" s="215">
        <f t="shared" si="24"/>
        <v>0</v>
      </c>
      <c r="AF56" s="215">
        <f t="shared" si="24"/>
        <v>0</v>
      </c>
      <c r="AG56" s="215">
        <f t="shared" si="24"/>
        <v>0</v>
      </c>
      <c r="AH56" s="215">
        <f t="shared" si="24"/>
        <v>0</v>
      </c>
      <c r="AI56" s="215">
        <f t="shared" si="24"/>
        <v>0</v>
      </c>
      <c r="AJ56" s="215">
        <f t="shared" si="24"/>
        <v>0</v>
      </c>
      <c r="AK56" s="215"/>
      <c r="AL56" s="215">
        <f t="shared" si="24"/>
        <v>0</v>
      </c>
      <c r="AM56" s="215">
        <f t="shared" si="24"/>
        <v>0</v>
      </c>
      <c r="AN56" s="359">
        <f t="shared" si="24"/>
        <v>0</v>
      </c>
      <c r="AP56" s="185"/>
    </row>
    <row r="59" ht="12.75">
      <c r="A59" s="136" t="s">
        <v>195</v>
      </c>
    </row>
  </sheetData>
  <sheetProtection/>
  <printOptions/>
  <pageMargins left="0.75" right="0.75" top="1" bottom="1" header="0.5" footer="0.5"/>
  <pageSetup fitToHeight="2"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25"/>
  <sheetViews>
    <sheetView zoomScalePageLayoutView="0" workbookViewId="0" topLeftCell="A1">
      <pane xSplit="1" ySplit="5" topLeftCell="F9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51.140625" style="12" customWidth="1"/>
    <col min="2" max="2" width="56.7109375" style="27" customWidth="1"/>
    <col min="3" max="3" width="12.421875" style="27" customWidth="1"/>
    <col min="4" max="4" width="14.57421875" style="27" customWidth="1"/>
    <col min="5" max="5" width="15.8515625" style="27" customWidth="1"/>
    <col min="6" max="6" width="15.421875" style="27" customWidth="1"/>
    <col min="7" max="7" width="14.8515625" style="27" customWidth="1"/>
    <col min="8" max="8" width="15.421875" style="27" customWidth="1"/>
    <col min="9" max="9" width="14.140625" style="21" customWidth="1"/>
    <col min="10" max="10" width="14.28125" style="21" customWidth="1"/>
    <col min="11" max="11" width="11.57421875" style="16" customWidth="1"/>
    <col min="12" max="12" width="3.7109375" style="27" customWidth="1"/>
    <col min="13" max="13" width="9.140625" style="27" customWidth="1"/>
    <col min="14" max="14" width="9.7109375" style="27" bestFit="1" customWidth="1"/>
    <col min="15" max="16384" width="9.140625" style="27" customWidth="1"/>
  </cols>
  <sheetData>
    <row r="2" spans="4:10" ht="12.75">
      <c r="D2" s="227" t="s">
        <v>237</v>
      </c>
      <c r="H2" s="227" t="s">
        <v>243</v>
      </c>
      <c r="J2" s="249" t="s">
        <v>241</v>
      </c>
    </row>
    <row r="3" spans="4:10" ht="12.75">
      <c r="D3" s="227" t="s">
        <v>238</v>
      </c>
      <c r="E3" s="69" t="s">
        <v>88</v>
      </c>
      <c r="H3" s="227" t="s">
        <v>244</v>
      </c>
      <c r="I3" s="21" t="s">
        <v>95</v>
      </c>
      <c r="J3" s="249" t="s">
        <v>242</v>
      </c>
    </row>
    <row r="4" spans="4:10" ht="13.5" thickBot="1">
      <c r="D4" s="227" t="s">
        <v>239</v>
      </c>
      <c r="E4" s="112" t="s">
        <v>104</v>
      </c>
      <c r="G4" s="227" t="s">
        <v>240</v>
      </c>
      <c r="H4" s="227" t="s">
        <v>78</v>
      </c>
      <c r="I4" s="249" t="s">
        <v>110</v>
      </c>
      <c r="J4" s="249" t="s">
        <v>155</v>
      </c>
    </row>
    <row r="5" spans="1:12" ht="51" customHeight="1" thickBot="1">
      <c r="A5" s="48" t="s">
        <v>165</v>
      </c>
      <c r="B5" s="47" t="s">
        <v>166</v>
      </c>
      <c r="C5" s="53" t="s">
        <v>50</v>
      </c>
      <c r="D5" s="55" t="s">
        <v>51</v>
      </c>
      <c r="E5" s="53" t="s">
        <v>52</v>
      </c>
      <c r="F5" s="54" t="s">
        <v>53</v>
      </c>
      <c r="G5" s="54" t="s">
        <v>54</v>
      </c>
      <c r="H5" s="54" t="s">
        <v>55</v>
      </c>
      <c r="I5" s="54" t="s">
        <v>56</v>
      </c>
      <c r="J5" s="54" t="s">
        <v>57</v>
      </c>
      <c r="K5" s="219" t="s">
        <v>58</v>
      </c>
      <c r="L5" s="28"/>
    </row>
    <row r="6" spans="1:11" ht="12.75">
      <c r="A6" s="244"/>
      <c r="B6" s="29"/>
      <c r="C6" s="30"/>
      <c r="D6" s="29"/>
      <c r="E6" s="31"/>
      <c r="F6" s="30"/>
      <c r="G6" s="31"/>
      <c r="H6" s="30"/>
      <c r="I6" s="93"/>
      <c r="J6" s="122"/>
      <c r="K6" s="25"/>
    </row>
    <row r="7" spans="1:11" ht="12.75">
      <c r="A7" s="50"/>
      <c r="B7" s="32"/>
      <c r="C7" s="33"/>
      <c r="D7" s="29"/>
      <c r="E7" s="31"/>
      <c r="F7" s="33"/>
      <c r="G7" s="31"/>
      <c r="H7" s="33"/>
      <c r="I7" s="93"/>
      <c r="J7" s="123"/>
      <c r="K7" s="25"/>
    </row>
    <row r="8" spans="1:11" ht="12.75">
      <c r="A8" s="50" t="s">
        <v>63</v>
      </c>
      <c r="B8" s="7" t="s">
        <v>12</v>
      </c>
      <c r="C8" s="24">
        <f>SUM('FY 09-11 DD 1416 Tracker-Total'!P14)</f>
        <v>105946</v>
      </c>
      <c r="D8" s="25">
        <f>SUM('FY 09-11 DD 1416 Tracker-Total'!J14)</f>
        <v>105946</v>
      </c>
      <c r="E8" s="26">
        <f>SUM('FY 09-11 DD 1416 Tracker-Total'!M14)</f>
        <v>-312</v>
      </c>
      <c r="F8" s="24"/>
      <c r="G8" s="26">
        <f>SUM('FY 09-11 DD 1416 Tracker-Total'!X14)</f>
        <v>0</v>
      </c>
      <c r="H8" s="24">
        <v>0</v>
      </c>
      <c r="I8" s="94">
        <f>SUM('FY 09-11 DD 1416 Tracker-Total'!AA14)</f>
        <v>0</v>
      </c>
      <c r="J8" s="116">
        <f>SUM('FY 09-11 DD 1416 Tracker-Total'!AU14)</f>
        <v>-512</v>
      </c>
      <c r="K8" s="25">
        <f>SUM(D8:J8)</f>
        <v>105122</v>
      </c>
    </row>
    <row r="9" spans="1:11" s="11" customFormat="1" ht="12.75">
      <c r="A9" s="257"/>
      <c r="B9" s="258" t="s">
        <v>113</v>
      </c>
      <c r="C9" s="251">
        <f aca="true" t="shared" si="0" ref="C9:I9">SUM(C8)</f>
        <v>105946</v>
      </c>
      <c r="D9" s="251">
        <f t="shared" si="0"/>
        <v>105946</v>
      </c>
      <c r="E9" s="251">
        <f t="shared" si="0"/>
        <v>-312</v>
      </c>
      <c r="F9" s="251">
        <f t="shared" si="0"/>
        <v>0</v>
      </c>
      <c r="G9" s="251">
        <f t="shared" si="0"/>
        <v>0</v>
      </c>
      <c r="H9" s="251">
        <f t="shared" si="0"/>
        <v>0</v>
      </c>
      <c r="I9" s="251">
        <f t="shared" si="0"/>
        <v>0</v>
      </c>
      <c r="J9" s="251">
        <f>SUM(J8:J8)</f>
        <v>-512</v>
      </c>
      <c r="K9" s="251">
        <f>SUM(K8:K8)</f>
        <v>105122</v>
      </c>
    </row>
    <row r="10" spans="1:11" ht="12.75">
      <c r="A10" s="50"/>
      <c r="B10" s="23"/>
      <c r="C10" s="24"/>
      <c r="D10" s="25"/>
      <c r="E10" s="26"/>
      <c r="F10" s="24"/>
      <c r="G10" s="26"/>
      <c r="H10" s="24"/>
      <c r="I10" s="94"/>
      <c r="J10" s="116"/>
      <c r="K10" s="25"/>
    </row>
    <row r="11" spans="1:11" ht="12.75">
      <c r="A11" s="50" t="s">
        <v>65</v>
      </c>
      <c r="B11" t="s">
        <v>116</v>
      </c>
      <c r="C11" s="24">
        <f>SUM('FY 09-11 DD 1416 Tracker-Total'!P18)</f>
        <v>0</v>
      </c>
      <c r="D11" s="25">
        <f>SUM('FY 09-11 DD 1416 Tracker-Total'!J18)</f>
        <v>0</v>
      </c>
      <c r="E11" s="26">
        <f>SUM('FY 09-11 DD 1416 Tracker-Total'!M18)</f>
        <v>0</v>
      </c>
      <c r="F11" s="24"/>
      <c r="G11" s="26">
        <f>SUM('FY 09-11 DD 1416 Tracker-Total'!X18)</f>
        <v>0</v>
      </c>
      <c r="H11" s="24">
        <v>0</v>
      </c>
      <c r="I11" s="94">
        <f>SUM('FY 09-11 DD 1416 Tracker-Total'!AA18)</f>
        <v>0</v>
      </c>
      <c r="J11" s="116">
        <f>SUM('FY 09-11 DD 1416 Tracker-Total'!AU18)</f>
        <v>0</v>
      </c>
      <c r="K11" s="59">
        <f>SUM(D11:J11)</f>
        <v>0</v>
      </c>
    </row>
    <row r="12" spans="1:11" ht="12.75">
      <c r="A12" s="50"/>
      <c r="B12" t="s">
        <v>12</v>
      </c>
      <c r="C12" s="24">
        <f>SUM('FY 09-11 DD 1416 Tracker-Total'!P19)</f>
        <v>26649</v>
      </c>
      <c r="D12" s="25">
        <f>SUM('FY 09-11 DD 1416 Tracker-Total'!J19)</f>
        <v>26649</v>
      </c>
      <c r="E12" s="26">
        <f>SUM('FY 09-11 DD 1416 Tracker-Total'!M19)</f>
        <v>-79</v>
      </c>
      <c r="F12" s="24"/>
      <c r="G12" s="26">
        <f>SUM('FY 09-11 DD 1416 Tracker-Total'!X19)</f>
        <v>0</v>
      </c>
      <c r="H12" s="24">
        <v>0</v>
      </c>
      <c r="I12" s="94">
        <f>SUM('FY 09-11 DD 1416 Tracker-Total'!AA19)</f>
        <v>0</v>
      </c>
      <c r="J12" s="116">
        <f>SUM('FY 09-11 DD 1416 Tracker-Total'!AU19)</f>
        <v>0</v>
      </c>
      <c r="K12" s="59">
        <f>SUM(D12:J12)</f>
        <v>26570</v>
      </c>
    </row>
    <row r="13" spans="1:11" s="11" customFormat="1" ht="12.75">
      <c r="A13" s="257"/>
      <c r="B13" s="259" t="s">
        <v>49</v>
      </c>
      <c r="C13" s="251">
        <f>SUM(C11:C12)</f>
        <v>26649</v>
      </c>
      <c r="D13" s="251">
        <f aca="true" t="shared" si="1" ref="D13:K13">SUM(D11:D12)</f>
        <v>26649</v>
      </c>
      <c r="E13" s="251">
        <f t="shared" si="1"/>
        <v>-79</v>
      </c>
      <c r="F13" s="251">
        <f t="shared" si="1"/>
        <v>0</v>
      </c>
      <c r="G13" s="251">
        <f t="shared" si="1"/>
        <v>0</v>
      </c>
      <c r="H13" s="251">
        <f t="shared" si="1"/>
        <v>0</v>
      </c>
      <c r="I13" s="251">
        <f t="shared" si="1"/>
        <v>0</v>
      </c>
      <c r="J13" s="251">
        <f t="shared" si="1"/>
        <v>0</v>
      </c>
      <c r="K13" s="251">
        <f t="shared" si="1"/>
        <v>26570</v>
      </c>
    </row>
    <row r="14" spans="1:11" ht="12.75">
      <c r="A14" s="50"/>
      <c r="B14" s="23"/>
      <c r="C14" s="24"/>
      <c r="D14" s="25"/>
      <c r="E14" s="26"/>
      <c r="F14" s="24"/>
      <c r="G14" s="26"/>
      <c r="H14" s="24"/>
      <c r="I14" s="94"/>
      <c r="J14" s="116"/>
      <c r="K14" s="25"/>
    </row>
    <row r="15" spans="1:11" ht="12.75">
      <c r="A15" s="50" t="s">
        <v>167</v>
      </c>
      <c r="B15" s="3" t="s">
        <v>6</v>
      </c>
      <c r="C15" s="24">
        <f>SUM('FY 09-11 DD 1416 Tracker-Total'!P22)</f>
        <v>54934</v>
      </c>
      <c r="D15" s="25">
        <f>SUM('FY 09-11 DD 1416 Tracker-Total'!J22)</f>
        <v>48734</v>
      </c>
      <c r="E15" s="26">
        <f>SUM('FY 09-11 DD 1416 Tracker-Total'!M22)</f>
        <v>-144</v>
      </c>
      <c r="F15" s="24"/>
      <c r="G15" s="25">
        <f>SUM('FY 09-11 DD 1416 Tracker-Total'!X22)</f>
        <v>0</v>
      </c>
      <c r="H15" s="26">
        <v>0</v>
      </c>
      <c r="I15" s="24">
        <f>SUM('FY 09-11 DD 1416 Tracker-Total'!AA22)</f>
        <v>0</v>
      </c>
      <c r="J15" s="24">
        <f>SUM('FY 09-11 DD 1416 Tracker-Total'!AU22)</f>
        <v>-1333</v>
      </c>
      <c r="K15" s="59">
        <f>SUM(D15:J15)</f>
        <v>47257</v>
      </c>
    </row>
    <row r="16" spans="1:11" ht="12.75">
      <c r="A16" s="50"/>
      <c r="B16" s="3" t="s">
        <v>248</v>
      </c>
      <c r="C16" s="24">
        <f>SUM('FY 09-11 DD 1416 Tracker-Total'!P23)</f>
        <v>10973</v>
      </c>
      <c r="D16" s="25">
        <f>SUM('FY 09-11 DD 1416 Tracker-Total'!J23)</f>
        <v>10973</v>
      </c>
      <c r="E16" s="26">
        <f>SUM('FY 09-11 DD 1416 Tracker-Total'!M23)</f>
        <v>-32</v>
      </c>
      <c r="F16" s="24"/>
      <c r="G16" s="25">
        <f>SUM('FY 09-11 DD 1416 Tracker-Total'!X23)</f>
        <v>0</v>
      </c>
      <c r="H16" s="26">
        <v>0</v>
      </c>
      <c r="I16" s="24">
        <f>SUM('FY 09-11 DD 1416 Tracker-Total'!AA23)</f>
        <v>0</v>
      </c>
      <c r="J16" s="24">
        <f>SUM('FY 09-11 DD 1416 Tracker-Total'!AU23)</f>
        <v>-2151</v>
      </c>
      <c r="K16" s="59">
        <f aca="true" t="shared" si="2" ref="K16:K25">SUM(D16:J16)</f>
        <v>8790</v>
      </c>
    </row>
    <row r="17" spans="1:11" ht="12.75">
      <c r="A17" s="50"/>
      <c r="B17" s="3" t="s">
        <v>7</v>
      </c>
      <c r="C17" s="24">
        <f>SUM('FY 09-11 DD 1416 Tracker-Total'!P24)</f>
        <v>2788</v>
      </c>
      <c r="D17" s="25">
        <f>SUM('FY 09-11 DD 1416 Tracker-Total'!J24)</f>
        <v>2788</v>
      </c>
      <c r="E17" s="26">
        <f>SUM('FY 09-11 DD 1416 Tracker-Total'!M24)</f>
        <v>-8</v>
      </c>
      <c r="F17" s="24"/>
      <c r="G17" s="25">
        <f>SUM('FY 09-11 DD 1416 Tracker-Total'!X24)</f>
        <v>0</v>
      </c>
      <c r="H17" s="26">
        <v>0</v>
      </c>
      <c r="I17" s="24">
        <f>SUM('FY 09-11 DD 1416 Tracker-Total'!AA24)</f>
        <v>0</v>
      </c>
      <c r="J17" s="24">
        <f>SUM('FY 09-11 DD 1416 Tracker-Total'!AU24)</f>
        <v>-111</v>
      </c>
      <c r="K17" s="59">
        <f t="shared" si="2"/>
        <v>2669</v>
      </c>
    </row>
    <row r="18" spans="1:11" ht="12.75">
      <c r="A18" s="50"/>
      <c r="B18" s="3" t="s">
        <v>8</v>
      </c>
      <c r="C18" s="24">
        <f>SUM('FY 09-11 DD 1416 Tracker-Total'!P25)</f>
        <v>15062</v>
      </c>
      <c r="D18" s="25">
        <f>SUM('FY 09-11 DD 1416 Tracker-Total'!J25)</f>
        <v>15062</v>
      </c>
      <c r="E18" s="26">
        <f>SUM('FY 09-11 DD 1416 Tracker-Total'!M25)</f>
        <v>-44</v>
      </c>
      <c r="F18" s="24"/>
      <c r="G18" s="25">
        <f>SUM('FY 09-11 DD 1416 Tracker-Total'!X25)</f>
        <v>0</v>
      </c>
      <c r="H18" s="26">
        <v>0</v>
      </c>
      <c r="I18" s="24">
        <f>SUM('FY 09-11 DD 1416 Tracker-Total'!AA25)</f>
        <v>0</v>
      </c>
      <c r="J18" s="24">
        <f>SUM('FY 09-11 DD 1416 Tracker-Total'!AU25)</f>
        <v>566</v>
      </c>
      <c r="K18" s="59">
        <f t="shared" si="2"/>
        <v>15584</v>
      </c>
    </row>
    <row r="19" spans="1:11" ht="12.75">
      <c r="A19" s="50"/>
      <c r="B19" s="3" t="s">
        <v>9</v>
      </c>
      <c r="C19" s="24">
        <f>SUM('FY 09-11 DD 1416 Tracker-Total'!P26)</f>
        <v>121296</v>
      </c>
      <c r="D19" s="25">
        <f>SUM('FY 09-11 DD 1416 Tracker-Total'!J26)</f>
        <v>111296</v>
      </c>
      <c r="E19" s="26">
        <f>SUM('FY 09-11 DD 1416 Tracker-Total'!M26)</f>
        <v>-328</v>
      </c>
      <c r="F19" s="24"/>
      <c r="G19" s="25">
        <f>SUM('FY 09-11 DD 1416 Tracker-Total'!X26)</f>
        <v>0</v>
      </c>
      <c r="H19" s="26">
        <v>0</v>
      </c>
      <c r="I19" s="24">
        <f>SUM('FY 09-11 DD 1416 Tracker-Total'!AA26)</f>
        <v>0</v>
      </c>
      <c r="J19" s="24">
        <f>SUM('FY 09-11 DD 1416 Tracker-Total'!AU26)</f>
        <v>11807</v>
      </c>
      <c r="K19" s="59">
        <f t="shared" si="2"/>
        <v>122775</v>
      </c>
    </row>
    <row r="20" spans="1:11" ht="12.75">
      <c r="A20" s="50"/>
      <c r="B20" s="3" t="s">
        <v>10</v>
      </c>
      <c r="C20" s="24">
        <f>SUM('FY 09-11 DD 1416 Tracker-Total'!P27)</f>
        <v>36765</v>
      </c>
      <c r="D20" s="25">
        <f>SUM('FY 09-11 DD 1416 Tracker-Total'!J27)</f>
        <v>36765</v>
      </c>
      <c r="E20" s="26">
        <f>SUM('FY 09-11 DD 1416 Tracker-Total'!M27)</f>
        <v>-108</v>
      </c>
      <c r="F20" s="24"/>
      <c r="G20" s="25">
        <f>SUM('FY 09-11 DD 1416 Tracker-Total'!X27)</f>
        <v>0</v>
      </c>
      <c r="H20" s="26">
        <v>0</v>
      </c>
      <c r="I20" s="24">
        <f>SUM('FY 09-11 DD 1416 Tracker-Total'!AA27)</f>
        <v>0</v>
      </c>
      <c r="J20" s="24">
        <f>SUM('FY 09-11 DD 1416 Tracker-Total'!AU27)</f>
        <v>-7331</v>
      </c>
      <c r="K20" s="59">
        <f t="shared" si="2"/>
        <v>29326</v>
      </c>
    </row>
    <row r="21" spans="1:11" ht="12.75">
      <c r="A21" s="50"/>
      <c r="B21" s="3" t="s">
        <v>197</v>
      </c>
      <c r="C21" s="24">
        <f>SUM('FY 09-11 DD 1416 Tracker-Total'!P28)</f>
        <v>90328</v>
      </c>
      <c r="D21" s="25">
        <f>SUM('FY 09-11 DD 1416 Tracker-Total'!J28)</f>
        <v>90328</v>
      </c>
      <c r="E21" s="26">
        <f>SUM('FY 09-11 DD 1416 Tracker-Total'!M28)</f>
        <v>-266</v>
      </c>
      <c r="F21" s="24"/>
      <c r="G21" s="25">
        <f>SUM('FY 09-11 DD 1416 Tracker-Total'!X28)</f>
        <v>0</v>
      </c>
      <c r="H21" s="26">
        <v>0</v>
      </c>
      <c r="I21" s="24">
        <f>SUM('FY 09-11 DD 1416 Tracker-Total'!AA28)</f>
        <v>0</v>
      </c>
      <c r="J21" s="24">
        <f>SUM('FY 09-11 DD 1416 Tracker-Total'!AU28)</f>
        <v>-1046</v>
      </c>
      <c r="K21" s="59">
        <f t="shared" si="2"/>
        <v>89016</v>
      </c>
    </row>
    <row r="22" spans="1:11" ht="12.75">
      <c r="A22" s="50"/>
      <c r="B22" s="3" t="s">
        <v>203</v>
      </c>
      <c r="C22" s="24">
        <f>SUM('FY 09-11 DD 1416 Tracker-Total'!P29)</f>
        <v>1894</v>
      </c>
      <c r="D22" s="25">
        <f>SUM('FY 09-11 DD 1416 Tracker-Total'!J29)</f>
        <v>1894</v>
      </c>
      <c r="E22" s="26">
        <f>SUM('FY 09-11 DD 1416 Tracker-Total'!M29)</f>
        <v>-6</v>
      </c>
      <c r="F22" s="24"/>
      <c r="G22" s="25">
        <f>SUM('FY 09-11 DD 1416 Tracker-Total'!X29)</f>
        <v>0</v>
      </c>
      <c r="H22" s="26">
        <v>0</v>
      </c>
      <c r="I22" s="24">
        <f>SUM('FY 09-11 DD 1416 Tracker-Total'!AA29)</f>
        <v>0</v>
      </c>
      <c r="J22" s="24">
        <f>SUM('FY 09-11 DD 1416 Tracker-Total'!AU29)</f>
        <v>-60</v>
      </c>
      <c r="K22" s="59">
        <f t="shared" si="2"/>
        <v>1828</v>
      </c>
    </row>
    <row r="23" spans="1:11" ht="12.75">
      <c r="A23" s="50"/>
      <c r="B23" s="117" t="s">
        <v>184</v>
      </c>
      <c r="C23" s="24">
        <f>SUM('FY 09-11 DD 1416 Tracker-Total'!P30)</f>
        <v>0</v>
      </c>
      <c r="D23" s="25">
        <f>SUM('FY 09-11 DD 1416 Tracker-Total'!J30)</f>
        <v>0</v>
      </c>
      <c r="E23" s="26">
        <f>SUM('FY 09-11 DD 1416 Tracker-Total'!M30)</f>
        <v>0</v>
      </c>
      <c r="F23" s="24"/>
      <c r="G23" s="25">
        <f>SUM('FY 09-11 DD 1416 Tracker-Total'!X30)</f>
        <v>0</v>
      </c>
      <c r="H23" s="26">
        <v>0</v>
      </c>
      <c r="I23" s="24">
        <f>SUM('FY 09-11 DD 1416 Tracker-Total'!AA30)</f>
        <v>659</v>
      </c>
      <c r="J23" s="24">
        <f>SUM('FY 09-11 DD 1416 Tracker-Total'!AU30)</f>
        <v>0</v>
      </c>
      <c r="K23" s="59">
        <f t="shared" si="2"/>
        <v>659</v>
      </c>
    </row>
    <row r="24" spans="1:11" ht="12.75">
      <c r="A24" s="50"/>
      <c r="B24" s="117" t="s">
        <v>212</v>
      </c>
      <c r="C24" s="24">
        <f>SUM('FY 09-11 DD 1416 Tracker-Total'!P31)</f>
        <v>7952</v>
      </c>
      <c r="D24" s="25">
        <f>SUM('FY 09-11 DD 1416 Tracker-Total'!J31)</f>
        <v>4000</v>
      </c>
      <c r="E24" s="26">
        <f>SUM('FY 09-11 DD 1416 Tracker-Total'!M31)</f>
        <v>-12</v>
      </c>
      <c r="F24" s="24"/>
      <c r="G24" s="25">
        <f>SUM('FY 09-11 DD 1416 Tracker-Total'!X31)</f>
        <v>0</v>
      </c>
      <c r="H24" s="26">
        <v>0</v>
      </c>
      <c r="I24" s="24">
        <f>SUM('FY 09-11 DD 1416 Tracker-Total'!AA31)</f>
        <v>0</v>
      </c>
      <c r="J24" s="24">
        <f>SUM('FY 09-11 DD 1416 Tracker-Total'!AU31)</f>
        <v>-341</v>
      </c>
      <c r="K24" s="59">
        <f t="shared" si="2"/>
        <v>3647</v>
      </c>
    </row>
    <row r="25" spans="1:11" ht="12.75">
      <c r="A25" s="50"/>
      <c r="B25" s="117" t="s">
        <v>213</v>
      </c>
      <c r="C25" s="24">
        <f>SUM('FY 09-11 DD 1416 Tracker-Total'!P32)</f>
        <v>19100</v>
      </c>
      <c r="D25" s="25">
        <f>SUM('FY 09-11 DD 1416 Tracker-Total'!J32)</f>
        <v>19100</v>
      </c>
      <c r="E25" s="26">
        <f>SUM('FY 09-11 DD 1416 Tracker-Total'!M32)</f>
        <v>-56</v>
      </c>
      <c r="F25" s="24"/>
      <c r="G25" s="25">
        <f>SUM('FY 09-11 DD 1416 Tracker-Total'!X32)</f>
        <v>0</v>
      </c>
      <c r="H25" s="26">
        <v>0</v>
      </c>
      <c r="I25" s="24">
        <f>SUM('FY 09-11 DD 1416 Tracker-Total'!AA32)</f>
        <v>0</v>
      </c>
      <c r="J25" s="24">
        <f>SUM('FY 09-11 DD 1416 Tracker-Total'!AU32)</f>
        <v>0</v>
      </c>
      <c r="K25" s="59">
        <f t="shared" si="2"/>
        <v>19044</v>
      </c>
    </row>
    <row r="26" spans="1:11" s="11" customFormat="1" ht="12.75">
      <c r="A26" s="257"/>
      <c r="B26" s="259" t="s">
        <v>67</v>
      </c>
      <c r="C26" s="251">
        <f>SUM(C15:C25)</f>
        <v>361092</v>
      </c>
      <c r="D26" s="251">
        <f aca="true" t="shared" si="3" ref="D26:K26">SUM(D15:D25)</f>
        <v>340940</v>
      </c>
      <c r="E26" s="254">
        <f t="shared" si="3"/>
        <v>-1004</v>
      </c>
      <c r="F26" s="251">
        <f t="shared" si="3"/>
        <v>0</v>
      </c>
      <c r="G26" s="255">
        <f t="shared" si="3"/>
        <v>0</v>
      </c>
      <c r="H26" s="251">
        <f t="shared" si="3"/>
        <v>0</v>
      </c>
      <c r="I26" s="251">
        <f t="shared" si="3"/>
        <v>659</v>
      </c>
      <c r="J26" s="251">
        <f t="shared" si="3"/>
        <v>0</v>
      </c>
      <c r="K26" s="251">
        <f t="shared" si="3"/>
        <v>340595</v>
      </c>
    </row>
    <row r="27" spans="1:11" ht="12.75">
      <c r="A27" s="50"/>
      <c r="B27" s="23"/>
      <c r="C27" s="24"/>
      <c r="D27" s="25"/>
      <c r="E27" s="26"/>
      <c r="F27" s="24"/>
      <c r="G27" s="26"/>
      <c r="H27" s="24"/>
      <c r="I27" s="94"/>
      <c r="J27" s="116"/>
      <c r="K27" s="25"/>
    </row>
    <row r="28" spans="1:11" ht="12.75">
      <c r="A28" s="50" t="s">
        <v>61</v>
      </c>
      <c r="B28" t="s">
        <v>12</v>
      </c>
      <c r="C28" s="24">
        <f>SUM('FY 09-11 DD 1416 Tracker-Total'!P35)</f>
        <v>8789</v>
      </c>
      <c r="D28" s="25">
        <f>SUM('FY 09-11 DD 1416 Tracker-Total'!J35)</f>
        <v>8789</v>
      </c>
      <c r="E28" s="26">
        <f>SUM('FY 09-11 DD 1416 Tracker-Total'!M35)</f>
        <v>-26</v>
      </c>
      <c r="F28" s="24"/>
      <c r="G28" s="26">
        <f>SUM('FY 09-11 DD 1416 Tracker-Total'!X35)</f>
        <v>0</v>
      </c>
      <c r="H28" s="24">
        <v>0</v>
      </c>
      <c r="I28" s="94">
        <f>SUM('FY 09-11 DD 1416 Tracker-Total'!AA35)</f>
        <v>0</v>
      </c>
      <c r="J28" s="116">
        <f>SUM('FY 09-11 DD 1416 Tracker-Total'!AU35)</f>
        <v>0</v>
      </c>
      <c r="K28" s="59">
        <f>SUM(D28:J28)</f>
        <v>8763</v>
      </c>
    </row>
    <row r="29" spans="1:11" ht="12.75">
      <c r="A29" s="257"/>
      <c r="B29" s="259" t="s">
        <v>117</v>
      </c>
      <c r="C29" s="251">
        <f>SUM(C28)</f>
        <v>8789</v>
      </c>
      <c r="D29" s="251">
        <f aca="true" t="shared" si="4" ref="D29:K29">SUM(D28)</f>
        <v>8789</v>
      </c>
      <c r="E29" s="251">
        <f t="shared" si="4"/>
        <v>-26</v>
      </c>
      <c r="F29" s="251">
        <f t="shared" si="4"/>
        <v>0</v>
      </c>
      <c r="G29" s="251">
        <f t="shared" si="4"/>
        <v>0</v>
      </c>
      <c r="H29" s="251">
        <f t="shared" si="4"/>
        <v>0</v>
      </c>
      <c r="I29" s="251">
        <f t="shared" si="4"/>
        <v>0</v>
      </c>
      <c r="J29" s="251">
        <f t="shared" si="4"/>
        <v>0</v>
      </c>
      <c r="K29" s="251">
        <f t="shared" si="4"/>
        <v>8763</v>
      </c>
    </row>
    <row r="30" spans="1:11" ht="12.75">
      <c r="A30" s="50"/>
      <c r="B30" s="34"/>
      <c r="C30" s="24"/>
      <c r="D30" s="25"/>
      <c r="E30" s="26"/>
      <c r="F30" s="24"/>
      <c r="G30" s="26"/>
      <c r="H30" s="24"/>
      <c r="I30" s="94"/>
      <c r="J30" s="116"/>
      <c r="K30" s="25"/>
    </row>
    <row r="31" spans="1:11" ht="12.75">
      <c r="A31" s="50" t="s">
        <v>60</v>
      </c>
      <c r="B31" t="s">
        <v>118</v>
      </c>
      <c r="C31" s="24">
        <f>SUM('FY 09-11 DD 1416 Tracker-Total'!P38)</f>
        <v>1523</v>
      </c>
      <c r="D31" s="25">
        <f>SUM('FY 09-11 DD 1416 Tracker-Total'!J38)</f>
        <v>3923</v>
      </c>
      <c r="E31" s="26">
        <f>SUM('FY 09-11 DD 1416 Tracker-Total'!M38)</f>
        <v>-12</v>
      </c>
      <c r="F31" s="24"/>
      <c r="G31" s="26">
        <f>SUM('FY 09-11 DD 1416 Tracker-Total'!X38)</f>
        <v>0</v>
      </c>
      <c r="H31" s="24">
        <v>0</v>
      </c>
      <c r="I31" s="94">
        <f>SUM('FY 09-11 DD 1416 Tracker-Total'!AA38)</f>
        <v>0</v>
      </c>
      <c r="J31" s="116">
        <f>SUM('FY 09-11 DD 1416 Tracker-Total'!AU38)</f>
        <v>0</v>
      </c>
      <c r="K31" s="59">
        <f>SUM(D31:J31)</f>
        <v>3911</v>
      </c>
    </row>
    <row r="32" spans="1:11" s="11" customFormat="1" ht="12.75">
      <c r="A32" s="257"/>
      <c r="B32" s="259" t="s">
        <v>119</v>
      </c>
      <c r="C32" s="251">
        <f>SUM(C31)</f>
        <v>1523</v>
      </c>
      <c r="D32" s="251">
        <f aca="true" t="shared" si="5" ref="D32:K32">SUM(D31)</f>
        <v>3923</v>
      </c>
      <c r="E32" s="251">
        <f t="shared" si="5"/>
        <v>-12</v>
      </c>
      <c r="F32" s="251">
        <f t="shared" si="5"/>
        <v>0</v>
      </c>
      <c r="G32" s="251">
        <f t="shared" si="5"/>
        <v>0</v>
      </c>
      <c r="H32" s="251">
        <f t="shared" si="5"/>
        <v>0</v>
      </c>
      <c r="I32" s="251">
        <f t="shared" si="5"/>
        <v>0</v>
      </c>
      <c r="J32" s="251">
        <f t="shared" si="5"/>
        <v>0</v>
      </c>
      <c r="K32" s="251">
        <f t="shared" si="5"/>
        <v>3911</v>
      </c>
    </row>
    <row r="33" spans="1:11" ht="12.75">
      <c r="A33" s="50"/>
      <c r="B33" s="34"/>
      <c r="C33" s="24"/>
      <c r="D33" s="25"/>
      <c r="E33" s="26"/>
      <c r="F33" s="24"/>
      <c r="G33" s="26"/>
      <c r="H33" s="24"/>
      <c r="I33" s="94"/>
      <c r="J33" s="116"/>
      <c r="K33" s="25"/>
    </row>
    <row r="34" spans="1:11" ht="12.75">
      <c r="A34" s="50" t="s">
        <v>64</v>
      </c>
      <c r="B34" t="s">
        <v>12</v>
      </c>
      <c r="C34" s="24">
        <f>SUM('FY 09-11 DD 1416 Tracker-Total'!P41)</f>
        <v>25897</v>
      </c>
      <c r="D34" s="25">
        <f>SUM('FY 09-11 DD 1416 Tracker-Total'!J41)</f>
        <v>25897</v>
      </c>
      <c r="E34" s="26">
        <f>SUM('FY 09-11 DD 1416 Tracker-Total'!M41)</f>
        <v>-86</v>
      </c>
      <c r="F34" s="24"/>
      <c r="G34" s="26">
        <f>SUM('FY 09-11 DD 1416 Tracker-Total'!X41)</f>
        <v>0</v>
      </c>
      <c r="H34" s="24">
        <v>0</v>
      </c>
      <c r="I34" s="94">
        <f>SUM('FY 09-11 DD 1416 Tracker-Total'!AA41)</f>
        <v>0</v>
      </c>
      <c r="J34" s="116">
        <f>SUM('FY 09-11 DD 1416 Tracker-Total'!AU41)</f>
        <v>0</v>
      </c>
      <c r="K34" s="59">
        <f>SUM(D34:J34)+2</f>
        <v>25813</v>
      </c>
    </row>
    <row r="35" spans="1:11" s="11" customFormat="1" ht="12.75">
      <c r="A35" s="257"/>
      <c r="B35" s="259" t="s">
        <v>121</v>
      </c>
      <c r="C35" s="251">
        <f>SUM(C34)</f>
        <v>25897</v>
      </c>
      <c r="D35" s="251">
        <f aca="true" t="shared" si="6" ref="D35:K35">SUM(D34)</f>
        <v>25897</v>
      </c>
      <c r="E35" s="251">
        <f t="shared" si="6"/>
        <v>-86</v>
      </c>
      <c r="F35" s="251">
        <f t="shared" si="6"/>
        <v>0</v>
      </c>
      <c r="G35" s="251">
        <f t="shared" si="6"/>
        <v>0</v>
      </c>
      <c r="H35" s="251">
        <f t="shared" si="6"/>
        <v>0</v>
      </c>
      <c r="I35" s="251">
        <f t="shared" si="6"/>
        <v>0</v>
      </c>
      <c r="J35" s="251">
        <f t="shared" si="6"/>
        <v>0</v>
      </c>
      <c r="K35" s="251">
        <f t="shared" si="6"/>
        <v>25813</v>
      </c>
    </row>
    <row r="36" spans="1:11" ht="12.75">
      <c r="A36" s="50"/>
      <c r="B36" s="34"/>
      <c r="C36" s="24"/>
      <c r="D36" s="25"/>
      <c r="E36" s="26"/>
      <c r="F36" s="24"/>
      <c r="G36" s="26"/>
      <c r="H36" s="24"/>
      <c r="I36" s="94"/>
      <c r="J36" s="116"/>
      <c r="K36" s="25"/>
    </row>
    <row r="37" spans="1:11" ht="12.75">
      <c r="A37" s="50" t="s">
        <v>168</v>
      </c>
      <c r="B37" t="s">
        <v>15</v>
      </c>
      <c r="C37" s="24">
        <f>SUM('FY 09-11 DD 1416 Tracker-Total'!P45)</f>
        <v>19214</v>
      </c>
      <c r="D37" s="25">
        <f>SUM('FY 09-11 DD 1416 Tracker-Total'!J45)</f>
        <v>10014</v>
      </c>
      <c r="E37" s="26">
        <f>SUM('FY 09-11 DD 1416 Tracker-Total'!M45)</f>
        <v>-30</v>
      </c>
      <c r="F37" s="24"/>
      <c r="G37" s="26">
        <f>SUM('FY 09-11 DD 1416 Tracker-Total'!X45)</f>
        <v>0</v>
      </c>
      <c r="H37" s="24">
        <v>0</v>
      </c>
      <c r="I37" s="94">
        <f>SUM('FY 09-11 DD 1416 Tracker-Total'!AA45)</f>
        <v>0</v>
      </c>
      <c r="J37" s="116">
        <f>SUM('FY 09-11 DD 1416 Tracker-Total'!AU45)</f>
        <v>0</v>
      </c>
      <c r="K37" s="59">
        <f>SUM(D37:J37)</f>
        <v>9984</v>
      </c>
    </row>
    <row r="38" spans="1:11" s="11" customFormat="1" ht="12.75">
      <c r="A38" s="257"/>
      <c r="B38" s="259" t="s">
        <v>122</v>
      </c>
      <c r="C38" s="251">
        <f>SUM(C37)</f>
        <v>19214</v>
      </c>
      <c r="D38" s="251">
        <f aca="true" t="shared" si="7" ref="D38:K38">SUM(D37)</f>
        <v>10014</v>
      </c>
      <c r="E38" s="251">
        <f t="shared" si="7"/>
        <v>-30</v>
      </c>
      <c r="F38" s="251">
        <f t="shared" si="7"/>
        <v>0</v>
      </c>
      <c r="G38" s="251">
        <f t="shared" si="7"/>
        <v>0</v>
      </c>
      <c r="H38" s="251">
        <f t="shared" si="7"/>
        <v>0</v>
      </c>
      <c r="I38" s="251">
        <f t="shared" si="7"/>
        <v>0</v>
      </c>
      <c r="J38" s="251">
        <f t="shared" si="7"/>
        <v>0</v>
      </c>
      <c r="K38" s="251">
        <f t="shared" si="7"/>
        <v>9984</v>
      </c>
    </row>
    <row r="39" spans="1:11" ht="12.75">
      <c r="A39" s="50"/>
      <c r="B39" s="35"/>
      <c r="C39" s="24"/>
      <c r="D39" s="25"/>
      <c r="E39" s="26"/>
      <c r="F39" s="24"/>
      <c r="G39" s="26"/>
      <c r="H39" s="24"/>
      <c r="I39" s="94"/>
      <c r="J39" s="116"/>
      <c r="K39" s="25"/>
    </row>
    <row r="40" spans="1:11" ht="12.75">
      <c r="A40" s="50" t="s">
        <v>62</v>
      </c>
      <c r="B40" t="s">
        <v>17</v>
      </c>
      <c r="C40" s="24">
        <f>SUM('FY 09-11 DD 1416 Tracker-Total'!P48)</f>
        <v>5621</v>
      </c>
      <c r="D40" s="25">
        <f>SUM('FY 09-11 DD 1416 Tracker-Total'!J48)</f>
        <v>8821</v>
      </c>
      <c r="E40" s="26">
        <f>SUM('FY 09-11 DD 1416 Tracker-Total'!M48)</f>
        <v>-17</v>
      </c>
      <c r="F40" s="24"/>
      <c r="G40" s="26">
        <f>SUM('FY 09-11 DD 1416 Tracker-Total'!X48)</f>
        <v>0</v>
      </c>
      <c r="H40" s="24">
        <v>0</v>
      </c>
      <c r="I40" s="94">
        <f>SUM('FY 09-11 DD 1416 Tracker-Total'!AA48)</f>
        <v>0</v>
      </c>
      <c r="J40" s="116">
        <f>SUM('FY 09-11 DD 1416 Tracker-Total'!AU48)</f>
        <v>0</v>
      </c>
      <c r="K40" s="59">
        <f>SUM(D40:J40)-1</f>
        <v>8803</v>
      </c>
    </row>
    <row r="41" spans="1:11" s="11" customFormat="1" ht="12.75">
      <c r="A41" s="257"/>
      <c r="B41" s="259" t="s">
        <v>66</v>
      </c>
      <c r="C41" s="251">
        <f>SUM(C40)</f>
        <v>5621</v>
      </c>
      <c r="D41" s="251">
        <f aca="true" t="shared" si="8" ref="D41:K41">SUM(D40)</f>
        <v>8821</v>
      </c>
      <c r="E41" s="251">
        <f t="shared" si="8"/>
        <v>-17</v>
      </c>
      <c r="F41" s="251">
        <f t="shared" si="8"/>
        <v>0</v>
      </c>
      <c r="G41" s="251">
        <f t="shared" si="8"/>
        <v>0</v>
      </c>
      <c r="H41" s="251">
        <f t="shared" si="8"/>
        <v>0</v>
      </c>
      <c r="I41" s="251">
        <f t="shared" si="8"/>
        <v>0</v>
      </c>
      <c r="J41" s="251">
        <f t="shared" si="8"/>
        <v>0</v>
      </c>
      <c r="K41" s="251">
        <f t="shared" si="8"/>
        <v>8803</v>
      </c>
    </row>
    <row r="42" spans="1:11" ht="12.75">
      <c r="A42" s="50"/>
      <c r="B42" s="23"/>
      <c r="C42" s="24"/>
      <c r="D42" s="25"/>
      <c r="E42" s="26"/>
      <c r="F42" s="24"/>
      <c r="G42" s="26"/>
      <c r="H42" s="24"/>
      <c r="I42" s="94"/>
      <c r="J42" s="116"/>
      <c r="K42" s="25"/>
    </row>
    <row r="43" spans="1:11" ht="12.75">
      <c r="A43" s="50" t="s">
        <v>169</v>
      </c>
      <c r="B43" t="s">
        <v>12</v>
      </c>
      <c r="C43" s="24">
        <f>SUM('FY 09-11 DD 1416 Tracker-Total'!P51)</f>
        <v>11158</v>
      </c>
      <c r="D43" s="25">
        <f>SUM('FY 09-11 DD 1416 Tracker-Total'!J51)</f>
        <v>11158</v>
      </c>
      <c r="E43" s="26">
        <f>SUM('FY 09-11 DD 1416 Tracker-Total'!M51)</f>
        <v>-33</v>
      </c>
      <c r="F43" s="24"/>
      <c r="G43" s="26">
        <f>SUM('FY 09-11 DD 1416 Tracker-Total'!X51)</f>
        <v>0</v>
      </c>
      <c r="H43" s="24">
        <v>0</v>
      </c>
      <c r="I43" s="94">
        <f>SUM('FY 09-11 DD 1416 Tracker-Total'!AA51)</f>
        <v>0</v>
      </c>
      <c r="J43" s="116">
        <f>SUM('FY 09-11 DD 1416 Tracker-Total'!AU51)</f>
        <v>0</v>
      </c>
      <c r="K43" s="59">
        <f>SUM(D43:J43)</f>
        <v>11125</v>
      </c>
    </row>
    <row r="44" spans="1:11" s="11" customFormat="1" ht="12.75">
      <c r="A44" s="257"/>
      <c r="B44" s="259" t="s">
        <v>123</v>
      </c>
      <c r="C44" s="251">
        <f>SUM(C43)</f>
        <v>11158</v>
      </c>
      <c r="D44" s="251">
        <f aca="true" t="shared" si="9" ref="D44:K44">SUM(D43)</f>
        <v>11158</v>
      </c>
      <c r="E44" s="251">
        <f t="shared" si="9"/>
        <v>-33</v>
      </c>
      <c r="F44" s="251">
        <f t="shared" si="9"/>
        <v>0</v>
      </c>
      <c r="G44" s="251">
        <f t="shared" si="9"/>
        <v>0</v>
      </c>
      <c r="H44" s="251">
        <f t="shared" si="9"/>
        <v>0</v>
      </c>
      <c r="I44" s="251">
        <f t="shared" si="9"/>
        <v>0</v>
      </c>
      <c r="J44" s="251">
        <f t="shared" si="9"/>
        <v>0</v>
      </c>
      <c r="K44" s="251">
        <f t="shared" si="9"/>
        <v>11125</v>
      </c>
    </row>
    <row r="45" spans="1:11" ht="12.75">
      <c r="A45" s="50"/>
      <c r="B45" s="23"/>
      <c r="C45" s="24"/>
      <c r="D45" s="25"/>
      <c r="E45" s="26"/>
      <c r="F45" s="24"/>
      <c r="G45" s="26"/>
      <c r="H45" s="24"/>
      <c r="I45" s="94"/>
      <c r="J45" s="116"/>
      <c r="K45" s="25"/>
    </row>
    <row r="46" spans="1:11" ht="12.75">
      <c r="A46" s="50" t="s">
        <v>170</v>
      </c>
      <c r="B46" t="s">
        <v>124</v>
      </c>
      <c r="C46" s="24">
        <f>SUM('FY 09-11 DD 1416 Tracker-Total'!P54)</f>
        <v>1498</v>
      </c>
      <c r="D46" s="25">
        <f>SUM('FY 09-11 DD 1416 Tracker-Total'!J54)</f>
        <v>1498</v>
      </c>
      <c r="E46" s="26">
        <f>SUM('FY 09-11 DD 1416 Tracker-Total'!M54)</f>
        <v>-4</v>
      </c>
      <c r="F46" s="24"/>
      <c r="G46" s="26">
        <f>SUM('FY 09-11 DD 1416 Tracker-Total'!X54)</f>
        <v>0</v>
      </c>
      <c r="H46" s="24">
        <v>0</v>
      </c>
      <c r="I46" s="94">
        <f>SUM('FY 09-11 DD 1416 Tracker-Total'!AA54)</f>
        <v>0</v>
      </c>
      <c r="J46" s="116">
        <f>SUM('FY 09-11 DD 1416 Tracker-Total'!AU54)</f>
        <v>0</v>
      </c>
      <c r="K46" s="59">
        <f>SUM(D46:J46)</f>
        <v>1494</v>
      </c>
    </row>
    <row r="47" spans="1:11" s="11" customFormat="1" ht="12.75">
      <c r="A47" s="257"/>
      <c r="B47" s="259" t="s">
        <v>125</v>
      </c>
      <c r="C47" s="251">
        <f>SUM(C46)</f>
        <v>1498</v>
      </c>
      <c r="D47" s="251">
        <f aca="true" t="shared" si="10" ref="D47:K47">SUM(D46)</f>
        <v>1498</v>
      </c>
      <c r="E47" s="251">
        <f t="shared" si="10"/>
        <v>-4</v>
      </c>
      <c r="F47" s="251">
        <f t="shared" si="10"/>
        <v>0</v>
      </c>
      <c r="G47" s="251">
        <f t="shared" si="10"/>
        <v>0</v>
      </c>
      <c r="H47" s="251">
        <f t="shared" si="10"/>
        <v>0</v>
      </c>
      <c r="I47" s="251">
        <f t="shared" si="10"/>
        <v>0</v>
      </c>
      <c r="J47" s="251">
        <f t="shared" si="10"/>
        <v>0</v>
      </c>
      <c r="K47" s="251">
        <f t="shared" si="10"/>
        <v>1494</v>
      </c>
    </row>
    <row r="48" spans="1:11" ht="12.75">
      <c r="A48" s="50"/>
      <c r="B48" s="34"/>
      <c r="C48" s="24"/>
      <c r="D48" s="25"/>
      <c r="E48" s="26"/>
      <c r="F48" s="24"/>
      <c r="G48" s="26"/>
      <c r="H48" s="24"/>
      <c r="I48" s="94"/>
      <c r="J48" s="116"/>
      <c r="K48" s="25"/>
    </row>
    <row r="49" spans="1:11" ht="12.75">
      <c r="A49" s="50" t="s">
        <v>171</v>
      </c>
      <c r="B49" t="s">
        <v>12</v>
      </c>
      <c r="C49" s="24">
        <f>SUM('FY 09-11 DD 1416 Tracker-Total'!P57)</f>
        <v>2149</v>
      </c>
      <c r="D49" s="25">
        <f>SUM('FY 09-11 DD 1416 Tracker-Total'!J57)</f>
        <v>2149</v>
      </c>
      <c r="E49" s="26">
        <f>SUM('FY 09-11 DD 1416 Tracker-Total'!M57)</f>
        <v>-6</v>
      </c>
      <c r="F49" s="24"/>
      <c r="G49" s="26">
        <f>SUM('FY 09-11 DD 1416 Tracker-Total'!X57)</f>
        <v>0</v>
      </c>
      <c r="H49" s="24">
        <v>0</v>
      </c>
      <c r="I49" s="94">
        <f>SUM('FY 09-11 DD 1416 Tracker-Total'!AA57)</f>
        <v>0</v>
      </c>
      <c r="J49" s="116">
        <f>SUM('FY 09-11 DD 1416 Tracker-Total'!AU57)</f>
        <v>0</v>
      </c>
      <c r="K49" s="59">
        <f>SUM(D49:J49)</f>
        <v>2143</v>
      </c>
    </row>
    <row r="50" spans="1:11" s="11" customFormat="1" ht="12.75">
      <c r="A50" s="257"/>
      <c r="B50" s="259" t="s">
        <v>126</v>
      </c>
      <c r="C50" s="251">
        <f>SUM(C49)</f>
        <v>2149</v>
      </c>
      <c r="D50" s="251">
        <f aca="true" t="shared" si="11" ref="D50:K50">SUM(D49)</f>
        <v>2149</v>
      </c>
      <c r="E50" s="251">
        <f t="shared" si="11"/>
        <v>-6</v>
      </c>
      <c r="F50" s="251">
        <f t="shared" si="11"/>
        <v>0</v>
      </c>
      <c r="G50" s="251">
        <f t="shared" si="11"/>
        <v>0</v>
      </c>
      <c r="H50" s="251">
        <f t="shared" si="11"/>
        <v>0</v>
      </c>
      <c r="I50" s="251">
        <f t="shared" si="11"/>
        <v>0</v>
      </c>
      <c r="J50" s="251">
        <f t="shared" si="11"/>
        <v>0</v>
      </c>
      <c r="K50" s="251">
        <f t="shared" si="11"/>
        <v>2143</v>
      </c>
    </row>
    <row r="51" spans="1:11" ht="12.75">
      <c r="A51" s="50"/>
      <c r="B51" s="23"/>
      <c r="C51" s="24"/>
      <c r="D51" s="25"/>
      <c r="E51" s="26"/>
      <c r="F51" s="24"/>
      <c r="G51" s="26"/>
      <c r="H51" s="24"/>
      <c r="I51" s="94"/>
      <c r="J51" s="116"/>
      <c r="K51" s="25"/>
    </row>
    <row r="52" spans="1:11" ht="12.75">
      <c r="A52" s="50" t="s">
        <v>172</v>
      </c>
      <c r="B52" t="s">
        <v>12</v>
      </c>
      <c r="C52" s="24">
        <f>SUM('FY 09-11 DD 1416 Tracker-Total'!P60)</f>
        <v>689</v>
      </c>
      <c r="D52" s="25">
        <f>SUM('FY 09-11 DD 1416 Tracker-Total'!J60)</f>
        <v>689</v>
      </c>
      <c r="E52" s="26">
        <f>SUM('FY 09-11 DD 1416 Tracker-Total'!M60)</f>
        <v>-2</v>
      </c>
      <c r="F52" s="24"/>
      <c r="G52" s="26">
        <f>SUM('FY 09-11 DD 1416 Tracker-Total'!X60)</f>
        <v>0</v>
      </c>
      <c r="H52" s="24">
        <v>0</v>
      </c>
      <c r="I52" s="94">
        <f>SUM('FY 09-11 DD 1416 Tracker-Total'!AA60)</f>
        <v>0</v>
      </c>
      <c r="J52" s="116">
        <f>SUM('FY 09-11 DD 1416 Tracker-Total'!AU60)</f>
        <v>0</v>
      </c>
      <c r="K52" s="59">
        <f>SUM(D52:J52)</f>
        <v>687</v>
      </c>
    </row>
    <row r="53" spans="1:11" s="11" customFormat="1" ht="12.75">
      <c r="A53" s="257"/>
      <c r="B53" s="259" t="s">
        <v>127</v>
      </c>
      <c r="C53" s="251">
        <f>SUM(C52)</f>
        <v>689</v>
      </c>
      <c r="D53" s="251">
        <f aca="true" t="shared" si="12" ref="D53:K53">SUM(D52)</f>
        <v>689</v>
      </c>
      <c r="E53" s="251">
        <f t="shared" si="12"/>
        <v>-2</v>
      </c>
      <c r="F53" s="251">
        <f t="shared" si="12"/>
        <v>0</v>
      </c>
      <c r="G53" s="251">
        <f t="shared" si="12"/>
        <v>0</v>
      </c>
      <c r="H53" s="251">
        <f t="shared" si="12"/>
        <v>0</v>
      </c>
      <c r="I53" s="251">
        <f t="shared" si="12"/>
        <v>0</v>
      </c>
      <c r="J53" s="251">
        <f t="shared" si="12"/>
        <v>0</v>
      </c>
      <c r="K53" s="251">
        <f t="shared" si="12"/>
        <v>687</v>
      </c>
    </row>
    <row r="54" spans="1:11" s="11" customFormat="1" ht="12.75">
      <c r="A54" s="50"/>
      <c r="C54" s="56"/>
      <c r="D54" s="56"/>
      <c r="E54" s="56"/>
      <c r="F54" s="56"/>
      <c r="G54" s="56"/>
      <c r="H54" s="56"/>
      <c r="I54" s="124"/>
      <c r="J54" s="124"/>
      <c r="K54" s="56"/>
    </row>
    <row r="55" spans="1:11" s="11" customFormat="1" ht="12.75">
      <c r="A55" s="50" t="s">
        <v>205</v>
      </c>
      <c r="B55" s="27" t="s">
        <v>206</v>
      </c>
      <c r="C55" s="24">
        <f>SUM('FY 09-11 DD 1416 Tracker-Total'!P63)</f>
        <v>436</v>
      </c>
      <c r="D55" s="25">
        <f>SUM('FY 09-11 DD 1416 Tracker-Total'!J63)</f>
        <v>436</v>
      </c>
      <c r="E55" s="26">
        <f>SUM('FY 09-11 DD 1416 Tracker-Total'!M63)</f>
        <v>-1</v>
      </c>
      <c r="F55" s="24"/>
      <c r="G55" s="26">
        <f>SUM('FY 09-11 DD 1416 Tracker-Total'!X63)</f>
        <v>0</v>
      </c>
      <c r="H55" s="24">
        <v>0</v>
      </c>
      <c r="I55" s="94">
        <f>SUM('FY 09-11 DD 1416 Tracker-Total'!AA63)</f>
        <v>0</v>
      </c>
      <c r="J55" s="116">
        <f>SUM('FY 09-11 DD 1416 Tracker-Total'!AU63)</f>
        <v>0</v>
      </c>
      <c r="K55" s="59">
        <f>SUM(D55:J55)</f>
        <v>435</v>
      </c>
    </row>
    <row r="56" spans="1:11" s="11" customFormat="1" ht="12.75">
      <c r="A56" s="257"/>
      <c r="B56" s="259" t="s">
        <v>204</v>
      </c>
      <c r="C56" s="251">
        <f>SUM(C55)</f>
        <v>436</v>
      </c>
      <c r="D56" s="251">
        <f aca="true" t="shared" si="13" ref="D56:K56">SUM(D55)</f>
        <v>436</v>
      </c>
      <c r="E56" s="251">
        <f t="shared" si="13"/>
        <v>-1</v>
      </c>
      <c r="F56" s="251">
        <f t="shared" si="13"/>
        <v>0</v>
      </c>
      <c r="G56" s="251">
        <f t="shared" si="13"/>
        <v>0</v>
      </c>
      <c r="H56" s="251">
        <f t="shared" si="13"/>
        <v>0</v>
      </c>
      <c r="I56" s="251">
        <f t="shared" si="13"/>
        <v>0</v>
      </c>
      <c r="J56" s="251">
        <f t="shared" si="13"/>
        <v>0</v>
      </c>
      <c r="K56" s="251">
        <f t="shared" si="13"/>
        <v>435</v>
      </c>
    </row>
    <row r="57" spans="1:11" s="11" customFormat="1" ht="12.75">
      <c r="A57" s="50"/>
      <c r="C57" s="56"/>
      <c r="D57" s="56"/>
      <c r="E57" s="56"/>
      <c r="F57" s="56"/>
      <c r="G57" s="56"/>
      <c r="H57" s="56"/>
      <c r="I57" s="124"/>
      <c r="J57" s="124"/>
      <c r="K57" s="56"/>
    </row>
    <row r="58" spans="1:11" s="11" customFormat="1" ht="12.75">
      <c r="A58" s="50" t="s">
        <v>179</v>
      </c>
      <c r="B58" s="93" t="s">
        <v>4</v>
      </c>
      <c r="C58" s="116">
        <f>SUM('FY 09-11 DD 1416 Tracker-Total'!P70)</f>
        <v>4505</v>
      </c>
      <c r="D58" s="25">
        <f>SUM('FY 09-11 DD 1416 Tracker-Total'!J70)</f>
        <v>4505</v>
      </c>
      <c r="E58" s="116">
        <f>SUM('FY 09-11 DD 1416 Tracker-Total'!M70)</f>
        <v>-13</v>
      </c>
      <c r="F58" s="116"/>
      <c r="G58" s="26">
        <f>SUM('FY 09-11 DD 1416 Tracker-Total'!X70)</f>
        <v>0</v>
      </c>
      <c r="H58" s="116">
        <v>0</v>
      </c>
      <c r="I58" s="94">
        <f>SUM('FY 09-11 DD 1416 Tracker-Total'!AA70)</f>
        <v>0</v>
      </c>
      <c r="J58" s="116">
        <f>SUM('FY 09-11 DD 1416 Tracker-Total'!AU70)</f>
        <v>0</v>
      </c>
      <c r="K58" s="59">
        <f>SUM(D58:J58)</f>
        <v>4492</v>
      </c>
    </row>
    <row r="59" spans="1:11" s="11" customFormat="1" ht="12.75">
      <c r="A59" s="50"/>
      <c r="B59" s="11" t="s">
        <v>48</v>
      </c>
      <c r="C59" s="251">
        <f aca="true" t="shared" si="14" ref="C59:K59">SUM(C58)</f>
        <v>4505</v>
      </c>
      <c r="D59" s="251">
        <f t="shared" si="14"/>
        <v>4505</v>
      </c>
      <c r="E59" s="251">
        <f t="shared" si="14"/>
        <v>-13</v>
      </c>
      <c r="F59" s="251">
        <f t="shared" si="14"/>
        <v>0</v>
      </c>
      <c r="G59" s="251">
        <f t="shared" si="14"/>
        <v>0</v>
      </c>
      <c r="H59" s="251">
        <f t="shared" si="14"/>
        <v>0</v>
      </c>
      <c r="I59" s="251">
        <f t="shared" si="14"/>
        <v>0</v>
      </c>
      <c r="J59" s="251">
        <f t="shared" si="14"/>
        <v>0</v>
      </c>
      <c r="K59" s="251">
        <f t="shared" si="14"/>
        <v>4492</v>
      </c>
    </row>
    <row r="60" spans="1:11" s="11" customFormat="1" ht="13.5" thickBot="1">
      <c r="A60" s="50"/>
      <c r="C60" s="56"/>
      <c r="D60" s="56"/>
      <c r="E60" s="56"/>
      <c r="F60" s="56"/>
      <c r="G60" s="56"/>
      <c r="H60" s="56"/>
      <c r="I60" s="124"/>
      <c r="J60" s="124"/>
      <c r="K60" s="56"/>
    </row>
    <row r="61" spans="1:11" s="52" customFormat="1" ht="13.5" thickBot="1">
      <c r="A61" s="245"/>
      <c r="B61" s="51" t="s">
        <v>232</v>
      </c>
      <c r="C61" s="38">
        <f>SUM(C9+C13+C26+C29+C32+C35+C38+C41+C44+C47+C50+C53+C56+C59)</f>
        <v>575166</v>
      </c>
      <c r="D61" s="38">
        <f aca="true" t="shared" si="15" ref="D61:K61">SUM(D9+D13+D26+D29+D32+D35+D38+D41+D44+D47+D50+D53+D56+D59)</f>
        <v>551414</v>
      </c>
      <c r="E61" s="38">
        <f t="shared" si="15"/>
        <v>-1625</v>
      </c>
      <c r="F61" s="38">
        <f t="shared" si="15"/>
        <v>0</v>
      </c>
      <c r="G61" s="38">
        <f t="shared" si="15"/>
        <v>0</v>
      </c>
      <c r="H61" s="38">
        <f t="shared" si="15"/>
        <v>0</v>
      </c>
      <c r="I61" s="38">
        <f t="shared" si="15"/>
        <v>659</v>
      </c>
      <c r="J61" s="38">
        <f t="shared" si="15"/>
        <v>-512</v>
      </c>
      <c r="K61" s="38">
        <f t="shared" si="15"/>
        <v>549937</v>
      </c>
    </row>
    <row r="62" spans="1:11" ht="12.75">
      <c r="A62" s="246"/>
      <c r="B62" s="36"/>
      <c r="C62" s="24"/>
      <c r="D62" s="25"/>
      <c r="E62" s="26"/>
      <c r="F62" s="24"/>
      <c r="G62" s="26"/>
      <c r="H62" s="24"/>
      <c r="I62" s="94"/>
      <c r="J62" s="116"/>
      <c r="K62" s="25"/>
    </row>
    <row r="63" spans="1:11" ht="12.75">
      <c r="A63" s="50" t="s">
        <v>174</v>
      </c>
      <c r="B63" s="3" t="s">
        <v>22</v>
      </c>
      <c r="C63" s="24">
        <f>SUM('FY 09-11 DD 1416 Tracker-Total'!F95)</f>
        <v>51950</v>
      </c>
      <c r="D63" s="25">
        <f>SUM('FY 09-11 DD 1416 Tracker-Total'!J95)</f>
        <v>89350</v>
      </c>
      <c r="E63" s="26">
        <f>SUM('FY 09-11 DD 1416 Tracker-Total'!M95)</f>
        <v>-153</v>
      </c>
      <c r="F63" s="24"/>
      <c r="G63" s="26">
        <f>SUM('FY 09-11 DD 1416 Tracker-Total'!X95)</f>
        <v>0</v>
      </c>
      <c r="H63" s="24">
        <v>0</v>
      </c>
      <c r="I63" s="94">
        <f>SUM('FY 09-11 DD 1416 Tracker-Total'!AA95)</f>
        <v>0</v>
      </c>
      <c r="J63" s="116">
        <f>SUM('FY 09-11 DD 1416 Tracker-Total'!AU95)</f>
        <v>3644</v>
      </c>
      <c r="K63" s="59">
        <f>SUM(D63:J63)</f>
        <v>92841</v>
      </c>
    </row>
    <row r="64" spans="1:11" ht="12.75">
      <c r="A64" s="50"/>
      <c r="B64" s="3" t="s">
        <v>132</v>
      </c>
      <c r="C64" s="24">
        <f>SUM('FY 09-11 DD 1416 Tracker-Total'!F96)</f>
        <v>63667</v>
      </c>
      <c r="D64" s="25">
        <f>SUM('FY 09-11 DD 1416 Tracker-Total'!J96)</f>
        <v>63667</v>
      </c>
      <c r="E64" s="26">
        <f>SUM('FY 09-11 DD 1416 Tracker-Total'!M96)</f>
        <v>-188</v>
      </c>
      <c r="F64" s="24"/>
      <c r="G64" s="26">
        <f>SUM('FY 09-11 DD 1416 Tracker-Total'!X96)</f>
        <v>0</v>
      </c>
      <c r="H64" s="24">
        <v>0</v>
      </c>
      <c r="I64" s="94">
        <f>SUM('FY 09-11 DD 1416 Tracker-Total'!AA96)</f>
        <v>0</v>
      </c>
      <c r="J64" s="116">
        <f>SUM('FY 09-11 DD 1416 Tracker-Total'!AU96)</f>
        <v>11600</v>
      </c>
      <c r="K64" s="59">
        <f aca="true" t="shared" si="16" ref="K64:K98">SUM(D64:J64)</f>
        <v>75079</v>
      </c>
    </row>
    <row r="65" spans="1:11" ht="12.75">
      <c r="A65" s="50"/>
      <c r="B65" s="3" t="s">
        <v>23</v>
      </c>
      <c r="C65" s="24">
        <f>SUM('FY 09-11 DD 1416 Tracker-Total'!F97)</f>
        <v>98163</v>
      </c>
      <c r="D65" s="25">
        <f>SUM('FY 09-11 DD 1416 Tracker-Total'!J97)</f>
        <v>98163</v>
      </c>
      <c r="E65" s="26">
        <f>SUM('FY 09-11 DD 1416 Tracker-Total'!M97)</f>
        <v>-400</v>
      </c>
      <c r="F65" s="24"/>
      <c r="G65" s="26">
        <f>SUM('FY 09-11 DD 1416 Tracker-Total'!X97)</f>
        <v>0</v>
      </c>
      <c r="H65" s="24">
        <v>0</v>
      </c>
      <c r="I65" s="94">
        <f>SUM('FY 09-11 DD 1416 Tracker-Total'!AA97)</f>
        <v>0</v>
      </c>
      <c r="J65" s="116">
        <f>SUM('FY 09-11 DD 1416 Tracker-Total'!AU97)</f>
        <v>-1800</v>
      </c>
      <c r="K65" s="59">
        <f t="shared" si="16"/>
        <v>95963</v>
      </c>
    </row>
    <row r="66" spans="1:11" ht="12.75">
      <c r="A66" s="50"/>
      <c r="B66" s="3" t="s">
        <v>133</v>
      </c>
      <c r="C66" s="24">
        <f>SUM('FY 09-11 DD 1416 Tracker-Total'!F98)</f>
        <v>39172</v>
      </c>
      <c r="D66" s="25">
        <f>SUM('FY 09-11 DD 1416 Tracker-Total'!J98)</f>
        <v>39172</v>
      </c>
      <c r="E66" s="26">
        <f>SUM('FY 09-11 DD 1416 Tracker-Total'!M98)</f>
        <v>-116</v>
      </c>
      <c r="F66" s="24"/>
      <c r="G66" s="26">
        <f>SUM('FY 09-11 DD 1416 Tracker-Total'!X98)</f>
        <v>0</v>
      </c>
      <c r="H66" s="24">
        <v>0</v>
      </c>
      <c r="I66" s="94">
        <f>SUM('FY 09-11 DD 1416 Tracker-Total'!AA98)</f>
        <v>0</v>
      </c>
      <c r="J66" s="116">
        <f>SUM('FY 09-11 DD 1416 Tracker-Total'!AU98)</f>
        <v>10740</v>
      </c>
      <c r="K66" s="59">
        <f t="shared" si="16"/>
        <v>49796</v>
      </c>
    </row>
    <row r="67" spans="1:11" ht="12.75">
      <c r="A67" s="50"/>
      <c r="B67" s="3" t="s">
        <v>134</v>
      </c>
      <c r="C67" s="24">
        <f>SUM('FY 09-11 DD 1416 Tracker-Total'!F99)</f>
        <v>36286</v>
      </c>
      <c r="D67" s="25">
        <f>SUM('FY 09-11 DD 1416 Tracker-Total'!J99)</f>
        <v>11286</v>
      </c>
      <c r="E67" s="26">
        <f>SUM('FY 09-11 DD 1416 Tracker-Total'!M99)</f>
        <v>-33</v>
      </c>
      <c r="F67" s="24"/>
      <c r="G67" s="26">
        <f>SUM('FY 09-11 DD 1416 Tracker-Total'!X99)</f>
        <v>0</v>
      </c>
      <c r="H67" s="24">
        <v>0</v>
      </c>
      <c r="I67" s="94">
        <f>SUM('FY 09-11 DD 1416 Tracker-Total'!AA99)</f>
        <v>0</v>
      </c>
      <c r="J67" s="116">
        <f>SUM('FY 09-11 DD 1416 Tracker-Total'!AU99)</f>
        <v>0</v>
      </c>
      <c r="K67" s="59">
        <f t="shared" si="16"/>
        <v>11253</v>
      </c>
    </row>
    <row r="68" spans="1:11" ht="12.75">
      <c r="A68" s="50"/>
      <c r="B68" s="3" t="s">
        <v>219</v>
      </c>
      <c r="C68" s="24">
        <f>SUM('FY 09-11 DD 1416 Tracker-Total'!F100)</f>
        <v>7659</v>
      </c>
      <c r="D68" s="25">
        <f>SUM('FY 09-11 DD 1416 Tracker-Total'!J100)</f>
        <v>7659</v>
      </c>
      <c r="E68" s="26">
        <f>SUM('FY 09-11 DD 1416 Tracker-Total'!M100)</f>
        <v>-23</v>
      </c>
      <c r="F68" s="24"/>
      <c r="G68" s="26">
        <f>SUM('FY 09-11 DD 1416 Tracker-Total'!X100)</f>
        <v>0</v>
      </c>
      <c r="H68" s="24">
        <v>0</v>
      </c>
      <c r="I68" s="94">
        <f>SUM('FY 09-11 DD 1416 Tracker-Total'!AA100)</f>
        <v>0</v>
      </c>
      <c r="J68" s="116">
        <f>SUM('FY 09-11 DD 1416 Tracker-Total'!AU100)</f>
        <v>0</v>
      </c>
      <c r="K68" s="59">
        <f t="shared" si="16"/>
        <v>7636</v>
      </c>
    </row>
    <row r="69" spans="1:11" ht="12.75">
      <c r="A69" s="50"/>
      <c r="B69" s="3" t="s">
        <v>24</v>
      </c>
      <c r="C69" s="24">
        <f>SUM('FY 09-11 DD 1416 Tracker-Total'!F101)</f>
        <v>162971</v>
      </c>
      <c r="D69" s="25">
        <f>SUM('FY 09-11 DD 1416 Tracker-Total'!J101)</f>
        <v>162971</v>
      </c>
      <c r="E69" s="26">
        <f>SUM('FY 09-11 DD 1416 Tracker-Total'!M101)</f>
        <v>-481</v>
      </c>
      <c r="F69" s="24"/>
      <c r="G69" s="26">
        <f>SUM('FY 09-11 DD 1416 Tracker-Total'!X101)</f>
        <v>0</v>
      </c>
      <c r="H69" s="24">
        <v>0</v>
      </c>
      <c r="I69" s="94">
        <f>SUM('FY 09-11 DD 1416 Tracker-Total'!AA101)</f>
        <v>0</v>
      </c>
      <c r="J69" s="116">
        <f>SUM('FY 09-11 DD 1416 Tracker-Total'!AU101)</f>
        <v>-7460</v>
      </c>
      <c r="K69" s="59">
        <f t="shared" si="16"/>
        <v>155030</v>
      </c>
    </row>
    <row r="70" spans="1:11" ht="12.75">
      <c r="A70" s="50"/>
      <c r="B70" s="3" t="s">
        <v>25</v>
      </c>
      <c r="C70" s="24">
        <f>SUM('FY 09-11 DD 1416 Tracker-Total'!F102)</f>
        <v>47018</v>
      </c>
      <c r="D70" s="25">
        <f>SUM('FY 09-11 DD 1416 Tracker-Total'!J102)</f>
        <v>33277</v>
      </c>
      <c r="E70" s="26">
        <f>SUM('FY 09-11 DD 1416 Tracker-Total'!M102)</f>
        <v>-98</v>
      </c>
      <c r="F70" s="24"/>
      <c r="G70" s="26">
        <f>SUM('FY 09-11 DD 1416 Tracker-Total'!X102)</f>
        <v>17000</v>
      </c>
      <c r="H70" s="24">
        <v>0</v>
      </c>
      <c r="I70" s="94">
        <f>SUM('FY 09-11 DD 1416 Tracker-Total'!AA102)</f>
        <v>0</v>
      </c>
      <c r="J70" s="116">
        <f>SUM('FY 09-11 DD 1416 Tracker-Total'!AU102)</f>
        <v>-2361</v>
      </c>
      <c r="K70" s="59">
        <f t="shared" si="16"/>
        <v>47818</v>
      </c>
    </row>
    <row r="71" spans="1:11" ht="12.75">
      <c r="A71" s="50"/>
      <c r="B71" s="3" t="s">
        <v>26</v>
      </c>
      <c r="C71" s="24">
        <f>SUM('FY 09-11 DD 1416 Tracker-Total'!F103)</f>
        <v>1347</v>
      </c>
      <c r="D71" s="25">
        <f>SUM('FY 09-11 DD 1416 Tracker-Total'!J103)</f>
        <v>1347</v>
      </c>
      <c r="E71" s="26">
        <f>SUM('FY 09-11 DD 1416 Tracker-Total'!M103)</f>
        <v>-4</v>
      </c>
      <c r="F71" s="24"/>
      <c r="G71" s="26">
        <f>SUM('FY 09-11 DD 1416 Tracker-Total'!X103)</f>
        <v>0</v>
      </c>
      <c r="H71" s="24">
        <v>0</v>
      </c>
      <c r="I71" s="94">
        <f>SUM('FY 09-11 DD 1416 Tracker-Total'!AA103)</f>
        <v>0</v>
      </c>
      <c r="J71" s="116">
        <f>SUM('FY 09-11 DD 1416 Tracker-Total'!AU103)</f>
        <v>-268</v>
      </c>
      <c r="K71" s="59">
        <f t="shared" si="16"/>
        <v>1075</v>
      </c>
    </row>
    <row r="72" spans="1:11" ht="12.75">
      <c r="A72" s="50"/>
      <c r="B72" s="3" t="s">
        <v>27</v>
      </c>
      <c r="C72" s="24">
        <f>SUM('FY 09-11 DD 1416 Tracker-Total'!F104)</f>
        <v>5760</v>
      </c>
      <c r="D72" s="25">
        <f>SUM('FY 09-11 DD 1416 Tracker-Total'!J104)</f>
        <v>5760</v>
      </c>
      <c r="E72" s="26">
        <f>SUM('FY 09-11 DD 1416 Tracker-Total'!M104)</f>
        <v>-17</v>
      </c>
      <c r="F72" s="24"/>
      <c r="G72" s="26">
        <f>SUM('FY 09-11 DD 1416 Tracker-Total'!X104)</f>
        <v>0</v>
      </c>
      <c r="H72" s="24">
        <v>0</v>
      </c>
      <c r="I72" s="94">
        <f>SUM('FY 09-11 DD 1416 Tracker-Total'!AA104)</f>
        <v>0</v>
      </c>
      <c r="J72" s="116">
        <f>SUM('FY 09-11 DD 1416 Tracker-Total'!AU104)</f>
        <v>-108</v>
      </c>
      <c r="K72" s="59">
        <f t="shared" si="16"/>
        <v>5635</v>
      </c>
    </row>
    <row r="73" spans="1:11" ht="12.75">
      <c r="A73" s="50"/>
      <c r="B73" s="3" t="s">
        <v>28</v>
      </c>
      <c r="C73" s="24">
        <f>SUM('FY 09-11 DD 1416 Tracker-Total'!F105)</f>
        <v>7061</v>
      </c>
      <c r="D73" s="25">
        <f>SUM('FY 09-11 DD 1416 Tracker-Total'!J105)</f>
        <v>7061</v>
      </c>
      <c r="E73" s="26">
        <f>SUM('FY 09-11 DD 1416 Tracker-Total'!M105)</f>
        <v>-21</v>
      </c>
      <c r="F73" s="24"/>
      <c r="G73" s="26">
        <f>SUM('FY 09-11 DD 1416 Tracker-Total'!X105)</f>
        <v>0</v>
      </c>
      <c r="H73" s="24">
        <v>0</v>
      </c>
      <c r="I73" s="94">
        <f>SUM('FY 09-11 DD 1416 Tracker-Total'!AA105)</f>
        <v>0</v>
      </c>
      <c r="J73" s="116">
        <f>SUM('FY 09-11 DD 1416 Tracker-Total'!AU105)</f>
        <v>108</v>
      </c>
      <c r="K73" s="59">
        <f t="shared" si="16"/>
        <v>7148</v>
      </c>
    </row>
    <row r="74" spans="1:11" ht="12.75">
      <c r="A74" s="50"/>
      <c r="B74" s="3" t="s">
        <v>135</v>
      </c>
      <c r="C74" s="24">
        <f>SUM('FY 09-11 DD 1416 Tracker-Total'!F106)</f>
        <v>67083</v>
      </c>
      <c r="D74" s="25">
        <f>SUM('FY 09-11 DD 1416 Tracker-Total'!J106)</f>
        <v>67083</v>
      </c>
      <c r="E74" s="26">
        <f>SUM('FY 09-11 DD 1416 Tracker-Total'!M106)</f>
        <v>-198</v>
      </c>
      <c r="F74" s="24"/>
      <c r="G74" s="26">
        <f>SUM('FY 09-11 DD 1416 Tracker-Total'!X106)</f>
        <v>43640</v>
      </c>
      <c r="H74" s="24">
        <v>0</v>
      </c>
      <c r="I74" s="94">
        <f>SUM('FY 09-11 DD 1416 Tracker-Total'!AA106)</f>
        <v>0</v>
      </c>
      <c r="J74" s="116">
        <f>SUM('FY 09-11 DD 1416 Tracker-Total'!AU106)</f>
        <v>-5924</v>
      </c>
      <c r="K74" s="59">
        <f t="shared" si="16"/>
        <v>104601</v>
      </c>
    </row>
    <row r="75" spans="1:11" ht="12.75">
      <c r="A75" s="50"/>
      <c r="B75" s="3" t="s">
        <v>136</v>
      </c>
      <c r="C75" s="24">
        <f>SUM('FY 09-11 DD 1416 Tracker-Total'!F107)</f>
        <v>5540</v>
      </c>
      <c r="D75" s="25">
        <f>SUM('FY 09-11 DD 1416 Tracker-Total'!J107)</f>
        <v>12540</v>
      </c>
      <c r="E75" s="26">
        <f>SUM('FY 09-11 DD 1416 Tracker-Total'!M107)</f>
        <v>-37</v>
      </c>
      <c r="F75" s="24"/>
      <c r="G75" s="26">
        <f>SUM('FY 09-11 DD 1416 Tracker-Total'!X107)</f>
        <v>0</v>
      </c>
      <c r="H75" s="24">
        <v>0</v>
      </c>
      <c r="I75" s="94">
        <f>SUM('FY 09-11 DD 1416 Tracker-Total'!AA107)</f>
        <v>0</v>
      </c>
      <c r="J75" s="116">
        <f>SUM('FY 09-11 DD 1416 Tracker-Total'!AU107)</f>
        <v>7051</v>
      </c>
      <c r="K75" s="59">
        <f t="shared" si="16"/>
        <v>19554</v>
      </c>
    </row>
    <row r="76" spans="1:11" ht="12.75">
      <c r="A76" s="50"/>
      <c r="B76" s="3" t="s">
        <v>137</v>
      </c>
      <c r="C76" s="24">
        <f>SUM('FY 09-11 DD 1416 Tracker-Total'!F108)</f>
        <v>67220</v>
      </c>
      <c r="D76" s="25">
        <f>SUM('FY 09-11 DD 1416 Tracker-Total'!J108)</f>
        <v>73220</v>
      </c>
      <c r="E76" s="26">
        <f>SUM('FY 09-11 DD 1416 Tracker-Total'!M108)</f>
        <v>-216</v>
      </c>
      <c r="F76" s="24"/>
      <c r="G76" s="26">
        <f>SUM('FY 09-11 DD 1416 Tracker-Total'!X108)</f>
        <v>0</v>
      </c>
      <c r="H76" s="24">
        <v>0</v>
      </c>
      <c r="I76" s="94">
        <f>SUM('FY 09-11 DD 1416 Tracker-Total'!AA108)</f>
        <v>0</v>
      </c>
      <c r="J76" s="116">
        <f>SUM('FY 09-11 DD 1416 Tracker-Total'!AU108)</f>
        <v>7058</v>
      </c>
      <c r="K76" s="59">
        <f t="shared" si="16"/>
        <v>80062</v>
      </c>
    </row>
    <row r="77" spans="1:11" ht="12.75">
      <c r="A77" s="50"/>
      <c r="B77" s="3" t="s">
        <v>29</v>
      </c>
      <c r="C77" s="24">
        <f>SUM('FY 09-11 DD 1416 Tracker-Total'!F109)</f>
        <v>54122</v>
      </c>
      <c r="D77" s="25">
        <f>SUM('FY 09-11 DD 1416 Tracker-Total'!J109)</f>
        <v>56122</v>
      </c>
      <c r="E77" s="26">
        <f>SUM('FY 09-11 DD 1416 Tracker-Total'!M109)</f>
        <v>-165</v>
      </c>
      <c r="F77" s="24"/>
      <c r="G77" s="26">
        <f>SUM('FY 09-11 DD 1416 Tracker-Total'!X109)</f>
        <v>0</v>
      </c>
      <c r="H77" s="24">
        <v>0</v>
      </c>
      <c r="I77" s="94">
        <f>SUM('FY 09-11 DD 1416 Tracker-Total'!AA109)</f>
        <v>0</v>
      </c>
      <c r="J77" s="116">
        <f>SUM('FY 09-11 DD 1416 Tracker-Total'!AU109)</f>
        <v>2391</v>
      </c>
      <c r="K77" s="59">
        <f t="shared" si="16"/>
        <v>58348</v>
      </c>
    </row>
    <row r="78" spans="1:11" ht="12.75">
      <c r="A78" s="50"/>
      <c r="B78" s="3" t="s">
        <v>31</v>
      </c>
      <c r="C78" s="24">
        <f>SUM('FY 09-11 DD 1416 Tracker-Total'!F110)</f>
        <v>15689</v>
      </c>
      <c r="D78" s="25">
        <f>SUM('FY 09-11 DD 1416 Tracker-Total'!J110)</f>
        <v>23489</v>
      </c>
      <c r="E78" s="26">
        <f>SUM('FY 09-11 DD 1416 Tracker-Total'!M110)</f>
        <v>-69</v>
      </c>
      <c r="F78" s="24"/>
      <c r="G78" s="26">
        <f>SUM('FY 09-11 DD 1416 Tracker-Total'!X110)</f>
        <v>16250</v>
      </c>
      <c r="H78" s="24">
        <v>0</v>
      </c>
      <c r="I78" s="94">
        <f>SUM('FY 09-11 DD 1416 Tracker-Total'!AA110)</f>
        <v>0</v>
      </c>
      <c r="J78" s="116">
        <f>SUM('FY 09-11 DD 1416 Tracker-Total'!AU110)</f>
        <v>-103</v>
      </c>
      <c r="K78" s="59">
        <f t="shared" si="16"/>
        <v>39567</v>
      </c>
    </row>
    <row r="79" spans="1:11" ht="12.75">
      <c r="A79" s="50"/>
      <c r="B79" s="3" t="s">
        <v>32</v>
      </c>
      <c r="C79" s="24">
        <f>SUM('FY 09-11 DD 1416 Tracker-Total'!F111)</f>
        <v>1265</v>
      </c>
      <c r="D79" s="25">
        <f>SUM('FY 09-11 DD 1416 Tracker-Total'!J111)</f>
        <v>1265</v>
      </c>
      <c r="E79" s="26">
        <f>SUM('FY 09-11 DD 1416 Tracker-Total'!M111)</f>
        <v>-4</v>
      </c>
      <c r="F79" s="24"/>
      <c r="G79" s="26">
        <f>SUM('FY 09-11 DD 1416 Tracker-Total'!X111)</f>
        <v>0</v>
      </c>
      <c r="H79" s="24">
        <v>0</v>
      </c>
      <c r="I79" s="94">
        <f>SUM('FY 09-11 DD 1416 Tracker-Total'!AA111)</f>
        <v>0</v>
      </c>
      <c r="J79" s="116">
        <f>SUM('FY 09-11 DD 1416 Tracker-Total'!AU111)</f>
        <v>0</v>
      </c>
      <c r="K79" s="59">
        <f t="shared" si="16"/>
        <v>1261</v>
      </c>
    </row>
    <row r="80" spans="1:11" ht="12.75">
      <c r="A80" s="50"/>
      <c r="B80" s="3" t="s">
        <v>138</v>
      </c>
      <c r="C80" s="24">
        <f>SUM('FY 09-11 DD 1416 Tracker-Total'!F112)</f>
        <v>12484</v>
      </c>
      <c r="D80" s="25">
        <f>SUM('FY 09-11 DD 1416 Tracker-Total'!J112)</f>
        <v>12484</v>
      </c>
      <c r="E80" s="26">
        <f>SUM('FY 09-11 DD 1416 Tracker-Total'!M112)</f>
        <v>-37</v>
      </c>
      <c r="F80" s="24"/>
      <c r="G80" s="26">
        <f>SUM('FY 09-11 DD 1416 Tracker-Total'!X112)</f>
        <v>0</v>
      </c>
      <c r="H80" s="24">
        <v>0</v>
      </c>
      <c r="I80" s="94">
        <f>SUM('FY 09-11 DD 1416 Tracker-Total'!AA112)</f>
        <v>0</v>
      </c>
      <c r="J80" s="116">
        <f>SUM('FY 09-11 DD 1416 Tracker-Total'!AU112)</f>
        <v>0</v>
      </c>
      <c r="K80" s="59">
        <f t="shared" si="16"/>
        <v>12447</v>
      </c>
    </row>
    <row r="81" spans="1:11" ht="12.75">
      <c r="A81" s="50"/>
      <c r="B81" s="3" t="s">
        <v>33</v>
      </c>
      <c r="C81" s="24">
        <f>SUM('FY 09-11 DD 1416 Tracker-Total'!F113)</f>
        <v>18795</v>
      </c>
      <c r="D81" s="25">
        <f>SUM('FY 09-11 DD 1416 Tracker-Total'!J113)</f>
        <v>21675</v>
      </c>
      <c r="E81" s="26">
        <f>SUM('FY 09-11 DD 1416 Tracker-Total'!M113)</f>
        <v>-64</v>
      </c>
      <c r="F81" s="24"/>
      <c r="G81" s="26">
        <f>SUM('FY 09-11 DD 1416 Tracker-Total'!X113)</f>
        <v>0</v>
      </c>
      <c r="H81" s="24">
        <v>0</v>
      </c>
      <c r="I81" s="94">
        <f>SUM('FY 09-11 DD 1416 Tracker-Total'!AA113)</f>
        <v>0</v>
      </c>
      <c r="J81" s="116">
        <f>SUM('FY 09-11 DD 1416 Tracker-Total'!AU113)</f>
        <v>-503</v>
      </c>
      <c r="K81" s="59">
        <f t="shared" si="16"/>
        <v>21108</v>
      </c>
    </row>
    <row r="82" spans="1:11" ht="12.75">
      <c r="A82" s="50"/>
      <c r="B82" s="3" t="s">
        <v>34</v>
      </c>
      <c r="C82" s="24">
        <f>SUM('FY 09-11 DD 1416 Tracker-Total'!F114)</f>
        <v>3272</v>
      </c>
      <c r="D82" s="25">
        <f>SUM('FY 09-11 DD 1416 Tracker-Total'!J114)</f>
        <v>3272</v>
      </c>
      <c r="E82" s="26">
        <f>SUM('FY 09-11 DD 1416 Tracker-Total'!M114)</f>
        <v>-10</v>
      </c>
      <c r="F82" s="24"/>
      <c r="G82" s="26">
        <f>SUM('FY 09-11 DD 1416 Tracker-Total'!X114)</f>
        <v>0</v>
      </c>
      <c r="H82" s="24">
        <v>0</v>
      </c>
      <c r="I82" s="94">
        <f>SUM('FY 09-11 DD 1416 Tracker-Total'!AA114)</f>
        <v>0</v>
      </c>
      <c r="J82" s="116">
        <f>SUM('FY 09-11 DD 1416 Tracker-Total'!AU114)</f>
        <v>-651</v>
      </c>
      <c r="K82" s="59">
        <f t="shared" si="16"/>
        <v>2611</v>
      </c>
    </row>
    <row r="83" spans="1:11" ht="12.75">
      <c r="A83" s="50"/>
      <c r="B83" s="3" t="s">
        <v>35</v>
      </c>
      <c r="C83" s="24">
        <f>SUM('FY 09-11 DD 1416 Tracker-Total'!F115)</f>
        <v>3702</v>
      </c>
      <c r="D83" s="25">
        <f>SUM('FY 09-11 DD 1416 Tracker-Total'!J115)</f>
        <v>3702</v>
      </c>
      <c r="E83" s="26">
        <f>SUM('FY 09-11 DD 1416 Tracker-Total'!M115)</f>
        <v>-11</v>
      </c>
      <c r="F83" s="24"/>
      <c r="G83" s="26">
        <f>SUM('FY 09-11 DD 1416 Tracker-Total'!X115)</f>
        <v>0</v>
      </c>
      <c r="H83" s="24">
        <v>0</v>
      </c>
      <c r="I83" s="94">
        <f>SUM('FY 09-11 DD 1416 Tracker-Total'!AA115)</f>
        <v>0</v>
      </c>
      <c r="J83" s="116">
        <f>SUM('FY 09-11 DD 1416 Tracker-Total'!AU115)</f>
        <v>900</v>
      </c>
      <c r="K83" s="59">
        <f t="shared" si="16"/>
        <v>4591</v>
      </c>
    </row>
    <row r="84" spans="1:11" ht="12.75">
      <c r="A84" s="50"/>
      <c r="B84" s="3" t="s">
        <v>139</v>
      </c>
      <c r="C84" s="24">
        <f>SUM('FY 09-11 DD 1416 Tracker-Total'!F116)</f>
        <v>34151</v>
      </c>
      <c r="D84" s="25">
        <f>SUM('FY 09-11 DD 1416 Tracker-Total'!J116)</f>
        <v>36151</v>
      </c>
      <c r="E84" s="26">
        <f>SUM('FY 09-11 DD 1416 Tracker-Total'!M116)</f>
        <v>-107</v>
      </c>
      <c r="F84" s="24"/>
      <c r="G84" s="26">
        <f>SUM('FY 09-11 DD 1416 Tracker-Total'!X116)</f>
        <v>0</v>
      </c>
      <c r="H84" s="24">
        <v>0</v>
      </c>
      <c r="I84" s="94">
        <f>SUM('FY 09-11 DD 1416 Tracker-Total'!AA116)</f>
        <v>0</v>
      </c>
      <c r="J84" s="116">
        <f>SUM('FY 09-11 DD 1416 Tracker-Total'!AU116)</f>
        <v>0</v>
      </c>
      <c r="K84" s="59">
        <f t="shared" si="16"/>
        <v>36044</v>
      </c>
    </row>
    <row r="85" spans="1:11" ht="12.75">
      <c r="A85" s="50"/>
      <c r="B85" s="3" t="s">
        <v>140</v>
      </c>
      <c r="C85" s="24">
        <f>SUM('FY 09-11 DD 1416 Tracker-Total'!F117)</f>
        <v>21593</v>
      </c>
      <c r="D85" s="25">
        <f>SUM('FY 09-11 DD 1416 Tracker-Total'!J117)</f>
        <v>20000</v>
      </c>
      <c r="E85" s="26">
        <f>SUM('FY 09-11 DD 1416 Tracker-Total'!M117)</f>
        <v>-59</v>
      </c>
      <c r="F85" s="24"/>
      <c r="G85" s="26">
        <f>SUM('FY 09-11 DD 1416 Tracker-Total'!X117)</f>
        <v>0</v>
      </c>
      <c r="H85" s="24">
        <v>0</v>
      </c>
      <c r="I85" s="94">
        <f>SUM('FY 09-11 DD 1416 Tracker-Total'!AA117)</f>
        <v>0</v>
      </c>
      <c r="J85" s="116">
        <f>SUM('FY 09-11 DD 1416 Tracker-Total'!AU117)</f>
        <v>1059</v>
      </c>
      <c r="K85" s="59">
        <f t="shared" si="16"/>
        <v>21000</v>
      </c>
    </row>
    <row r="86" spans="1:11" ht="12.75">
      <c r="A86" s="50"/>
      <c r="B86" s="3" t="s">
        <v>36</v>
      </c>
      <c r="C86" s="24">
        <f>SUM('FY 09-11 DD 1416 Tracker-Total'!F118)</f>
        <v>11722</v>
      </c>
      <c r="D86" s="25">
        <f>SUM('FY 09-11 DD 1416 Tracker-Total'!J118)</f>
        <v>11722</v>
      </c>
      <c r="E86" s="26">
        <f>SUM('FY 09-11 DD 1416 Tracker-Total'!M118)</f>
        <v>-35</v>
      </c>
      <c r="F86" s="24"/>
      <c r="G86" s="26">
        <f>SUM('FY 09-11 DD 1416 Tracker-Total'!X118)</f>
        <v>0</v>
      </c>
      <c r="H86" s="24">
        <v>0</v>
      </c>
      <c r="I86" s="94">
        <f>SUM('FY 09-11 DD 1416 Tracker-Total'!AA118)</f>
        <v>0</v>
      </c>
      <c r="J86" s="116">
        <f>SUM('FY 09-11 DD 1416 Tracker-Total'!AU118)</f>
        <v>-2337</v>
      </c>
      <c r="K86" s="59">
        <f t="shared" si="16"/>
        <v>9350</v>
      </c>
    </row>
    <row r="87" spans="1:11" ht="12.75">
      <c r="A87" s="50"/>
      <c r="B87" s="3" t="s">
        <v>37</v>
      </c>
      <c r="C87" s="24">
        <f>SUM('FY 09-11 DD 1416 Tracker-Total'!F119)</f>
        <v>27194</v>
      </c>
      <c r="D87" s="25">
        <f>SUM('FY 09-11 DD 1416 Tracker-Total'!J119)</f>
        <v>55561</v>
      </c>
      <c r="E87" s="26">
        <f>SUM('FY 09-11 DD 1416 Tracker-Total'!M119)</f>
        <v>-164</v>
      </c>
      <c r="F87" s="24"/>
      <c r="G87" s="26">
        <f>SUM('FY 09-11 DD 1416 Tracker-Total'!X119)</f>
        <v>0</v>
      </c>
      <c r="H87" s="24">
        <v>0</v>
      </c>
      <c r="I87" s="94">
        <f>SUM('FY 09-11 DD 1416 Tracker-Total'!AA119)</f>
        <v>0</v>
      </c>
      <c r="J87" s="116">
        <f>SUM('FY 09-11 DD 1416 Tracker-Total'!AU119)</f>
        <v>0</v>
      </c>
      <c r="K87" s="59">
        <f t="shared" si="16"/>
        <v>55397</v>
      </c>
    </row>
    <row r="88" spans="1:11" ht="12.75">
      <c r="A88" s="50"/>
      <c r="B88" s="3" t="s">
        <v>220</v>
      </c>
      <c r="C88" s="24">
        <f>SUM('FY 09-11 DD 1416 Tracker-Total'!F120)</f>
        <v>55248</v>
      </c>
      <c r="D88" s="25">
        <f>SUM('FY 09-11 DD 1416 Tracker-Total'!J120)</f>
        <v>55248</v>
      </c>
      <c r="E88" s="26">
        <f>SUM('FY 09-11 DD 1416 Tracker-Total'!M120)</f>
        <v>-163</v>
      </c>
      <c r="F88" s="24"/>
      <c r="G88" s="26">
        <f>SUM('FY 09-11 DD 1416 Tracker-Total'!X120)</f>
        <v>0</v>
      </c>
      <c r="H88" s="24">
        <v>0</v>
      </c>
      <c r="I88" s="94">
        <f>SUM('FY 09-11 DD 1416 Tracker-Total'!AA120)</f>
        <v>0</v>
      </c>
      <c r="J88" s="116">
        <f>SUM('FY 09-11 DD 1416 Tracker-Total'!AU120)</f>
        <v>551</v>
      </c>
      <c r="K88" s="59">
        <f t="shared" si="16"/>
        <v>55636</v>
      </c>
    </row>
    <row r="89" spans="1:11" ht="12.75">
      <c r="A89" s="50"/>
      <c r="B89" s="117" t="s">
        <v>221</v>
      </c>
      <c r="C89" s="24">
        <f>SUM('FY 09-11 DD 1416 Tracker-Total'!F121)</f>
        <v>15862</v>
      </c>
      <c r="D89" s="25">
        <f>SUM('FY 09-11 DD 1416 Tracker-Total'!J121)</f>
        <v>15862</v>
      </c>
      <c r="E89" s="26">
        <f>SUM('FY 09-11 DD 1416 Tracker-Total'!M121)</f>
        <v>-47</v>
      </c>
      <c r="F89" s="24"/>
      <c r="G89" s="26">
        <f>SUM('FY 09-11 DD 1416 Tracker-Total'!X121)</f>
        <v>0</v>
      </c>
      <c r="H89" s="24">
        <v>0</v>
      </c>
      <c r="I89" s="94">
        <f>SUM('FY 09-11 DD 1416 Tracker-Total'!AA121)</f>
        <v>0</v>
      </c>
      <c r="J89" s="116">
        <f>SUM('FY 09-11 DD 1416 Tracker-Total'!AU121)</f>
        <v>-830</v>
      </c>
      <c r="K89" s="59">
        <f>SUM(D89:J89)</f>
        <v>14985</v>
      </c>
    </row>
    <row r="90" spans="1:11" ht="12.75">
      <c r="A90" s="50"/>
      <c r="B90" s="3" t="s">
        <v>223</v>
      </c>
      <c r="C90" s="24">
        <f>SUM('FY 09-11 DD 1416 Tracker-Total'!F122)</f>
        <v>25892</v>
      </c>
      <c r="D90" s="25">
        <f>SUM('FY 09-11 DD 1416 Tracker-Total'!J122)</f>
        <v>25892</v>
      </c>
      <c r="E90" s="26">
        <f>SUM('FY 09-11 DD 1416 Tracker-Total'!M122)</f>
        <v>-76</v>
      </c>
      <c r="F90" s="24"/>
      <c r="G90" s="26">
        <f>SUM('FY 09-11 DD 1416 Tracker-Total'!X122)</f>
        <v>33750</v>
      </c>
      <c r="H90" s="24">
        <v>0</v>
      </c>
      <c r="I90" s="94">
        <f>SUM('FY 09-11 DD 1416 Tracker-Total'!AA122)</f>
        <v>0</v>
      </c>
      <c r="J90" s="116">
        <f>SUM('FY 09-11 DD 1416 Tracker-Total'!AU122)</f>
        <v>5000</v>
      </c>
      <c r="K90" s="59">
        <f>SUM(D90:J90)</f>
        <v>64566</v>
      </c>
    </row>
    <row r="91" spans="1:11" ht="12.75">
      <c r="A91" s="50"/>
      <c r="B91" s="117" t="s">
        <v>222</v>
      </c>
      <c r="C91" s="24">
        <f>SUM('FY 09-11 DD 1416 Tracker-Total'!F123)</f>
        <v>15455</v>
      </c>
      <c r="D91" s="25">
        <f>SUM('FY 09-11 DD 1416 Tracker-Total'!J123)</f>
        <v>19455</v>
      </c>
      <c r="E91" s="26">
        <f>SUM('FY 09-11 DD 1416 Tracker-Total'!M123)</f>
        <v>-57</v>
      </c>
      <c r="F91" s="24"/>
      <c r="G91" s="26">
        <f>SUM('FY 09-11 DD 1416 Tracker-Total'!X123)</f>
        <v>0</v>
      </c>
      <c r="H91" s="24">
        <v>0</v>
      </c>
      <c r="I91" s="94">
        <f>SUM('FY 09-11 DD 1416 Tracker-Total'!AA123)</f>
        <v>0</v>
      </c>
      <c r="J91" s="116">
        <f>SUM('FY 09-11 DD 1416 Tracker-Total'!AU123)</f>
        <v>-3917</v>
      </c>
      <c r="K91" s="59">
        <f>SUM(D91:J91)</f>
        <v>15481</v>
      </c>
    </row>
    <row r="92" spans="1:11" ht="12.75">
      <c r="A92" s="50"/>
      <c r="B92" s="117" t="s">
        <v>224</v>
      </c>
      <c r="C92" s="24">
        <f>SUM('FY 09-11 DD 1416 Tracker-Total'!F124)</f>
        <v>30201</v>
      </c>
      <c r="D92" s="25">
        <f>SUM('FY 09-11 DD 1416 Tracker-Total'!J124)</f>
        <v>25351</v>
      </c>
      <c r="E92" s="26">
        <f>SUM('FY 09-11 DD 1416 Tracker-Total'!M124)</f>
        <v>-75</v>
      </c>
      <c r="F92" s="24"/>
      <c r="G92" s="26">
        <f>SUM('FY 09-11 DD 1416 Tracker-Total'!X124)</f>
        <v>0</v>
      </c>
      <c r="H92" s="24">
        <v>0</v>
      </c>
      <c r="I92" s="94">
        <f>SUM('FY 09-11 DD 1416 Tracker-Total'!AA124)</f>
        <v>0</v>
      </c>
      <c r="J92" s="116">
        <f>SUM('FY 09-11 DD 1416 Tracker-Total'!AU124)</f>
        <v>37</v>
      </c>
      <c r="K92" s="59">
        <f>SUM(D92:J92)</f>
        <v>25313</v>
      </c>
    </row>
    <row r="93" spans="1:11" ht="12.75">
      <c r="A93" s="50"/>
      <c r="B93" s="117" t="s">
        <v>225</v>
      </c>
      <c r="C93" s="24">
        <f>SUM('FY 09-11 DD 1416 Tracker-Total'!F125)</f>
        <v>33966</v>
      </c>
      <c r="D93" s="25">
        <f>SUM('FY 09-11 DD 1416 Tracker-Total'!J125)</f>
        <v>23566</v>
      </c>
      <c r="E93" s="26">
        <f>SUM('FY 09-11 DD 1416 Tracker-Total'!M125)</f>
        <v>-69</v>
      </c>
      <c r="F93" s="24"/>
      <c r="G93" s="26">
        <f>SUM('FY 09-11 DD 1416 Tracker-Total'!X125)</f>
        <v>0</v>
      </c>
      <c r="H93" s="24">
        <v>0</v>
      </c>
      <c r="I93" s="94">
        <f>SUM('FY 09-11 DD 1416 Tracker-Total'!AA125)</f>
        <v>0</v>
      </c>
      <c r="J93" s="116">
        <f>SUM('FY 09-11 DD 1416 Tracker-Total'!AU125)</f>
        <v>-3686</v>
      </c>
      <c r="K93" s="59">
        <f>SUM(D93:J93)</f>
        <v>19811</v>
      </c>
    </row>
    <row r="94" spans="1:11" ht="12.75">
      <c r="A94" s="50"/>
      <c r="B94" s="117" t="s">
        <v>38</v>
      </c>
      <c r="C94" s="24">
        <f>SUM('FY 09-11 DD 1416 Tracker-Total'!F126)</f>
        <v>13450</v>
      </c>
      <c r="D94" s="25">
        <f>SUM('FY 09-11 DD 1416 Tracker-Total'!J126)</f>
        <v>13450</v>
      </c>
      <c r="E94" s="26">
        <f>SUM('FY 09-11 DD 1416 Tracker-Total'!M126)</f>
        <v>-40</v>
      </c>
      <c r="F94" s="24"/>
      <c r="G94" s="26">
        <f>SUM('FY 09-11 DD 1416 Tracker-Total'!X126)</f>
        <v>0</v>
      </c>
      <c r="H94" s="24">
        <v>0</v>
      </c>
      <c r="I94" s="94">
        <f>SUM('FY 09-11 DD 1416 Tracker-Total'!AA126)</f>
        <v>0</v>
      </c>
      <c r="J94" s="116">
        <f>SUM('FY 09-11 DD 1416 Tracker-Total'!AU126)</f>
        <v>0</v>
      </c>
      <c r="K94" s="59">
        <f t="shared" si="16"/>
        <v>13410</v>
      </c>
    </row>
    <row r="95" spans="1:11" ht="12.75">
      <c r="A95" s="50"/>
      <c r="B95" s="117" t="s">
        <v>39</v>
      </c>
      <c r="C95" s="24">
        <f>SUM('FY 09-11 DD 1416 Tracker-Total'!F127)</f>
        <v>15331</v>
      </c>
      <c r="D95" s="25">
        <f>SUM('FY 09-11 DD 1416 Tracker-Total'!J127)</f>
        <v>15331</v>
      </c>
      <c r="E95" s="26">
        <f>SUM('FY 09-11 DD 1416 Tracker-Total'!M127)</f>
        <v>-45</v>
      </c>
      <c r="F95" s="24"/>
      <c r="G95" s="26">
        <f>SUM('FY 09-11 DD 1416 Tracker-Total'!X127)</f>
        <v>0</v>
      </c>
      <c r="H95" s="24">
        <v>0</v>
      </c>
      <c r="I95" s="94">
        <f>SUM('FY 09-11 DD 1416 Tracker-Total'!AA127)</f>
        <v>0</v>
      </c>
      <c r="J95" s="116">
        <f>SUM('FY 09-11 DD 1416 Tracker-Total'!AU127)</f>
        <v>-3006</v>
      </c>
      <c r="K95" s="59">
        <f t="shared" si="16"/>
        <v>12280</v>
      </c>
    </row>
    <row r="96" spans="1:11" ht="12.75">
      <c r="A96" s="50"/>
      <c r="B96" s="117" t="s">
        <v>198</v>
      </c>
      <c r="C96" s="24">
        <f>SUM('FY 09-11 DD 1416 Tracker-Total'!F128)</f>
        <v>315443</v>
      </c>
      <c r="D96" s="25">
        <f>SUM('FY 09-11 DD 1416 Tracker-Total'!J128)</f>
        <v>319443</v>
      </c>
      <c r="E96" s="26">
        <f>SUM('FY 09-11 DD 1416 Tracker-Total'!M128)</f>
        <v>-941</v>
      </c>
      <c r="F96" s="24"/>
      <c r="G96" s="26">
        <f>SUM('FY 09-11 DD 1416 Tracker-Total'!X128)</f>
        <v>0</v>
      </c>
      <c r="H96" s="24">
        <v>0</v>
      </c>
      <c r="I96" s="94">
        <f>SUM('FY 09-11 DD 1416 Tracker-Total'!AA128)</f>
        <v>0</v>
      </c>
      <c r="J96" s="116">
        <f>SUM('FY 09-11 DD 1416 Tracker-Total'!AU128)</f>
        <v>-11061</v>
      </c>
      <c r="K96" s="59">
        <f t="shared" si="16"/>
        <v>307441</v>
      </c>
    </row>
    <row r="97" spans="1:11" ht="12.75">
      <c r="A97" s="50"/>
      <c r="B97" s="117" t="s">
        <v>40</v>
      </c>
      <c r="C97" s="24">
        <f>SUM('FY 09-11 DD 1416 Tracker-Total'!F129)</f>
        <v>64778</v>
      </c>
      <c r="D97" s="25">
        <f>SUM('FY 09-11 DD 1416 Tracker-Total'!J129)</f>
        <v>55778</v>
      </c>
      <c r="E97" s="26">
        <f>SUM('FY 09-11 DD 1416 Tracker-Total'!M129)</f>
        <v>-164</v>
      </c>
      <c r="F97" s="24"/>
      <c r="G97" s="26">
        <f>SUM('FY 09-11 DD 1416 Tracker-Total'!X129)</f>
        <v>0</v>
      </c>
      <c r="H97" s="24">
        <v>0</v>
      </c>
      <c r="I97" s="94">
        <f>SUM('FY 09-11 DD 1416 Tracker-Total'!AA129)</f>
        <v>0</v>
      </c>
      <c r="J97" s="116">
        <f>SUM('FY 09-11 DD 1416 Tracker-Total'!AU129)</f>
        <v>-6124</v>
      </c>
      <c r="K97" s="59">
        <f t="shared" si="16"/>
        <v>49490</v>
      </c>
    </row>
    <row r="98" spans="1:11" ht="13.5" thickBot="1">
      <c r="A98" s="50"/>
      <c r="B98" s="31" t="s">
        <v>185</v>
      </c>
      <c r="C98" s="24">
        <f>SUM('FY 09-11 DD 1416 Tracker-Total'!F131)</f>
        <v>0</v>
      </c>
      <c r="D98" s="25">
        <f>SUM('FY 09-11 DD 1416 Tracker-Total'!J131)</f>
        <v>0</v>
      </c>
      <c r="E98" s="26">
        <f>SUM('FY 09-11 DD 1416 Tracker-Total'!M131)</f>
        <v>0</v>
      </c>
      <c r="F98" s="24"/>
      <c r="G98" s="26">
        <f>SUM('FY 09-11 DD 1416 Tracker-Total'!X131)</f>
        <v>0</v>
      </c>
      <c r="H98" s="24">
        <v>0</v>
      </c>
      <c r="I98" s="94">
        <f>SUM('FY 09-11 DD 1416 Tracker-Total'!AA131)</f>
        <v>2407</v>
      </c>
      <c r="J98" s="116">
        <f>SUM('FY 09-11 DD 1416 Tracker-Total'!AU130)</f>
        <v>0</v>
      </c>
      <c r="K98" s="59">
        <f t="shared" si="16"/>
        <v>2407</v>
      </c>
    </row>
    <row r="99" spans="1:14" s="11" customFormat="1" ht="13.5" thickBot="1">
      <c r="A99" s="247"/>
      <c r="B99" s="37" t="s">
        <v>233</v>
      </c>
      <c r="C99" s="252">
        <f aca="true" t="shared" si="17" ref="C99:K99">SUM(C63:C98)</f>
        <v>1450512</v>
      </c>
      <c r="D99" s="252">
        <f t="shared" si="17"/>
        <v>1487375</v>
      </c>
      <c r="E99" s="252">
        <f t="shared" si="17"/>
        <v>-4387</v>
      </c>
      <c r="F99" s="252">
        <f t="shared" si="17"/>
        <v>0</v>
      </c>
      <c r="G99" s="252">
        <f t="shared" si="17"/>
        <v>110640</v>
      </c>
      <c r="H99" s="252">
        <f t="shared" si="17"/>
        <v>0</v>
      </c>
      <c r="I99" s="252">
        <f t="shared" si="17"/>
        <v>2407</v>
      </c>
      <c r="J99" s="252">
        <f t="shared" si="17"/>
        <v>0</v>
      </c>
      <c r="K99" s="252">
        <f t="shared" si="17"/>
        <v>1596035</v>
      </c>
      <c r="N99" s="10"/>
    </row>
    <row r="100" spans="1:11" ht="12.75">
      <c r="A100" s="49"/>
      <c r="B100" s="40"/>
      <c r="C100" s="24"/>
      <c r="D100" s="25"/>
      <c r="E100" s="26"/>
      <c r="F100" s="24"/>
      <c r="G100" s="26"/>
      <c r="H100" s="24"/>
      <c r="I100" s="94"/>
      <c r="J100" s="116"/>
      <c r="K100" s="25"/>
    </row>
    <row r="101" spans="1:11" ht="12.75">
      <c r="A101" s="49" t="s">
        <v>173</v>
      </c>
      <c r="B101" s="3" t="s">
        <v>42</v>
      </c>
      <c r="C101" s="24">
        <f>SUM('FY 09-11 DD 1416 Tracker-Total'!F139)</f>
        <v>88565</v>
      </c>
      <c r="D101" s="25">
        <f>SUM('FY 09-11 DD 1416 Tracker-Total'!J139)</f>
        <v>88565</v>
      </c>
      <c r="E101" s="26">
        <f>SUM('FY 09-11 DD 1416 Tracker-Total'!M139)</f>
        <v>-261</v>
      </c>
      <c r="F101" s="24"/>
      <c r="G101" s="26">
        <f>SUM('FY 09-11 DD 1416 Tracker-Total'!X139)</f>
        <v>0</v>
      </c>
      <c r="H101" s="24">
        <v>0</v>
      </c>
      <c r="I101" s="94">
        <f>SUM('FY 09-11 DD 1416 Tracker-Total'!AA139)</f>
        <v>0</v>
      </c>
      <c r="J101" s="116">
        <f>SUM('FY 09-11 DD 1416 Tracker-Total'!AU139)</f>
        <v>99</v>
      </c>
      <c r="K101" s="25">
        <f aca="true" t="shared" si="18" ref="K101:K106">SUM(D101:J101)</f>
        <v>88403</v>
      </c>
    </row>
    <row r="102" spans="1:11" ht="12.75">
      <c r="A102" s="49"/>
      <c r="B102" s="3" t="s">
        <v>43</v>
      </c>
      <c r="C102" s="24">
        <f>SUM('FY 09-11 DD 1416 Tracker-Total'!F140)</f>
        <v>80211</v>
      </c>
      <c r="D102" s="25">
        <f>SUM('FY 09-11 DD 1416 Tracker-Total'!J140)</f>
        <v>80211</v>
      </c>
      <c r="E102" s="26">
        <f>SUM('FY 09-11 DD 1416 Tracker-Total'!M140)</f>
        <v>-237</v>
      </c>
      <c r="F102" s="24"/>
      <c r="G102" s="26">
        <f>SUM('FY 09-11 DD 1416 Tracker-Total'!X140)</f>
        <v>0</v>
      </c>
      <c r="H102" s="24">
        <v>0</v>
      </c>
      <c r="I102" s="94">
        <f>SUM('FY 09-11 DD 1416 Tracker-Total'!AA140)</f>
        <v>0</v>
      </c>
      <c r="J102" s="116">
        <f>SUM('FY 09-11 DD 1416 Tracker-Total'!AU140)</f>
        <v>-99</v>
      </c>
      <c r="K102" s="25">
        <f t="shared" si="18"/>
        <v>79875</v>
      </c>
    </row>
    <row r="103" spans="1:11" ht="12.75">
      <c r="A103" s="49"/>
      <c r="B103" s="3" t="s">
        <v>44</v>
      </c>
      <c r="C103" s="24">
        <f>SUM('FY 09-11 DD 1416 Tracker-Total'!F141)</f>
        <v>22299</v>
      </c>
      <c r="D103" s="25">
        <f>SUM('FY 09-11 DD 1416 Tracker-Total'!J141)</f>
        <v>25579</v>
      </c>
      <c r="E103" s="26">
        <f>SUM('FY 09-11 DD 1416 Tracker-Total'!M141)</f>
        <v>-75</v>
      </c>
      <c r="F103" s="24"/>
      <c r="G103" s="26">
        <f>SUM('FY 09-11 DD 1416 Tracker-Total'!X141)</f>
        <v>0</v>
      </c>
      <c r="H103" s="24">
        <v>0</v>
      </c>
      <c r="I103" s="94">
        <f>SUM('FY 09-11 DD 1416 Tracker-Total'!AA141)</f>
        <v>0</v>
      </c>
      <c r="J103" s="116">
        <f>SUM('FY 09-11 DD 1416 Tracker-Total'!AU141)</f>
        <v>-5100</v>
      </c>
      <c r="K103" s="25">
        <f t="shared" si="18"/>
        <v>20404</v>
      </c>
    </row>
    <row r="104" spans="1:11" ht="12.75">
      <c r="A104" s="49"/>
      <c r="B104" s="3" t="s">
        <v>45</v>
      </c>
      <c r="C104" s="24">
        <f>SUM('FY 09-11 DD 1416 Tracker-Total'!F142)</f>
        <v>38702</v>
      </c>
      <c r="D104" s="25">
        <f>SUM('FY 09-11 DD 1416 Tracker-Total'!J142)</f>
        <v>38702</v>
      </c>
      <c r="E104" s="26">
        <f>SUM('FY 09-11 DD 1416 Tracker-Total'!M142)</f>
        <v>-114</v>
      </c>
      <c r="F104" s="24"/>
      <c r="G104" s="26">
        <f>SUM('FY 09-11 DD 1416 Tracker-Total'!X142)</f>
        <v>0</v>
      </c>
      <c r="H104" s="24">
        <v>0</v>
      </c>
      <c r="I104" s="94">
        <f>SUM('FY 09-11 DD 1416 Tracker-Total'!AA142)</f>
        <v>0</v>
      </c>
      <c r="J104" s="116">
        <f>SUM('FY 09-11 DD 1416 Tracker-Total'!AU142)</f>
        <v>0</v>
      </c>
      <c r="K104" s="25">
        <f t="shared" si="18"/>
        <v>38588</v>
      </c>
    </row>
    <row r="105" spans="1:11" ht="12.75">
      <c r="A105" s="49"/>
      <c r="B105" s="3" t="s">
        <v>199</v>
      </c>
      <c r="C105" s="24">
        <f>SUM('FY 09-11 DD 1416 Tracker-Total'!F143)</f>
        <v>37784</v>
      </c>
      <c r="D105" s="25">
        <f>SUM('FY 09-11 DD 1416 Tracker-Total'!J143)</f>
        <v>37784</v>
      </c>
      <c r="E105" s="26">
        <f>SUM('FY 09-11 DD 1416 Tracker-Total'!M143)</f>
        <v>-111</v>
      </c>
      <c r="F105" s="24"/>
      <c r="G105" s="26">
        <f>SUM('FY 09-11 DD 1416 Tracker-Total'!X143)</f>
        <v>0</v>
      </c>
      <c r="H105" s="24">
        <v>0</v>
      </c>
      <c r="I105" s="94">
        <f>SUM('FY 09-11 DD 1416 Tracker-Total'!AA143)</f>
        <v>0</v>
      </c>
      <c r="J105" s="116">
        <f>SUM('FY 09-11 DD 1416 Tracker-Total'!AU143)</f>
        <v>0</v>
      </c>
      <c r="K105" s="25">
        <f t="shared" si="18"/>
        <v>37673</v>
      </c>
    </row>
    <row r="106" spans="1:11" ht="13.5" thickBot="1">
      <c r="A106" s="49"/>
      <c r="B106" s="3" t="s">
        <v>46</v>
      </c>
      <c r="C106" s="24">
        <f>SUM('FY 09-11 DD 1416 Tracker-Total'!F144)</f>
        <v>199610</v>
      </c>
      <c r="D106" s="25">
        <f>SUM('FY 09-11 DD 1416 Tracker-Total'!J144)</f>
        <v>186160</v>
      </c>
      <c r="E106" s="26">
        <f>SUM('FY 09-11 DD 1416 Tracker-Total'!M144)</f>
        <v>-549</v>
      </c>
      <c r="F106" s="24"/>
      <c r="G106" s="26">
        <f>SUM('FY 09-11 DD 1416 Tracker-Total'!X144)</f>
        <v>0</v>
      </c>
      <c r="H106" s="24">
        <v>0</v>
      </c>
      <c r="I106" s="94">
        <f>SUM('FY 09-11 DD 1416 Tracker-Total'!AA144)</f>
        <v>0</v>
      </c>
      <c r="J106" s="116">
        <f>SUM('FY 09-11 DD 1416 Tracker-Total'!AU144)</f>
        <v>5100</v>
      </c>
      <c r="K106" s="25">
        <f t="shared" si="18"/>
        <v>190711</v>
      </c>
    </row>
    <row r="107" spans="1:11" s="11" customFormat="1" ht="13.5" thickBot="1">
      <c r="A107" s="247"/>
      <c r="B107" s="37" t="s">
        <v>234</v>
      </c>
      <c r="C107" s="252">
        <f>SUM(C101:C106)</f>
        <v>467171</v>
      </c>
      <c r="D107" s="252">
        <f aca="true" t="shared" si="19" ref="D107:K107">SUM(D101:D106)</f>
        <v>457001</v>
      </c>
      <c r="E107" s="252">
        <f t="shared" si="19"/>
        <v>-1347</v>
      </c>
      <c r="F107" s="252">
        <f t="shared" si="19"/>
        <v>0</v>
      </c>
      <c r="G107" s="252">
        <f t="shared" si="19"/>
        <v>0</v>
      </c>
      <c r="H107" s="252">
        <f t="shared" si="19"/>
        <v>0</v>
      </c>
      <c r="I107" s="252">
        <f t="shared" si="19"/>
        <v>0</v>
      </c>
      <c r="J107" s="252">
        <f t="shared" si="19"/>
        <v>0</v>
      </c>
      <c r="K107" s="252">
        <f t="shared" si="19"/>
        <v>455654</v>
      </c>
    </row>
    <row r="108" spans="1:11" ht="12.75">
      <c r="A108" s="41"/>
      <c r="B108" s="42"/>
      <c r="C108" s="24"/>
      <c r="D108" s="29"/>
      <c r="E108" s="31"/>
      <c r="F108" s="33"/>
      <c r="G108" s="31"/>
      <c r="H108" s="33"/>
      <c r="I108" s="93"/>
      <c r="J108" s="123"/>
      <c r="K108" s="25"/>
    </row>
    <row r="109" spans="1:11" ht="12.75">
      <c r="A109" s="41" t="s">
        <v>235</v>
      </c>
      <c r="B109" s="3" t="s">
        <v>226</v>
      </c>
      <c r="C109" s="24">
        <v>0</v>
      </c>
      <c r="D109" s="25">
        <f>SUM('FY 09-11 DD 1416 Tracker-Total'!Q151)</f>
        <v>57100</v>
      </c>
      <c r="E109" s="26">
        <f>SUM('FY 09-11 DD 1416 Tracker-Total'!M151)</f>
        <v>-168</v>
      </c>
      <c r="F109" s="33"/>
      <c r="G109" s="26">
        <f>SUM('FY 09-11 DD 1416 Tracker-Total'!X151)</f>
        <v>0</v>
      </c>
      <c r="H109" s="24">
        <v>0</v>
      </c>
      <c r="I109" s="94">
        <f>SUM('FY 09-11 DD 1416 Tracker-Total'!AA151)</f>
        <v>0</v>
      </c>
      <c r="J109" s="116">
        <f>SUM('FY 09-11 DD 1416 Tracker-Total'!AU151)</f>
        <v>0</v>
      </c>
      <c r="K109" s="25">
        <f>SUM(D109:J109)</f>
        <v>56932</v>
      </c>
    </row>
    <row r="110" spans="1:11" ht="13.5" thickBot="1">
      <c r="A110" s="41"/>
      <c r="B110" s="3" t="s">
        <v>227</v>
      </c>
      <c r="C110" s="24">
        <v>0</v>
      </c>
      <c r="D110" s="25">
        <f>SUM('FY 09-11 DD 1416 Tracker-Total'!Q152)</f>
        <v>105000</v>
      </c>
      <c r="E110" s="26">
        <f>SUM('FY 09-11 DD 1416 Tracker-Total'!M152)</f>
        <v>-310</v>
      </c>
      <c r="F110" s="33"/>
      <c r="G110" s="26">
        <f>SUM('FY 09-11 DD 1416 Tracker-Total'!X152)</f>
        <v>0</v>
      </c>
      <c r="H110" s="24">
        <v>0</v>
      </c>
      <c r="I110" s="94">
        <f>SUM('FY 09-11 DD 1416 Tracker-Total'!AA152)</f>
        <v>0</v>
      </c>
      <c r="J110" s="116">
        <f>SUM('FY 09-11 DD 1416 Tracker-Total'!AU152)</f>
        <v>0</v>
      </c>
      <c r="K110" s="25">
        <f>SUM(D110:J110)</f>
        <v>104690</v>
      </c>
    </row>
    <row r="111" spans="1:11" s="11" customFormat="1" ht="13.5" thickBot="1">
      <c r="A111" s="247"/>
      <c r="B111" s="37" t="s">
        <v>236</v>
      </c>
      <c r="C111" s="252">
        <f>SUM(C109:C110)</f>
        <v>0</v>
      </c>
      <c r="D111" s="252">
        <f aca="true" t="shared" si="20" ref="D111:K111">SUM(D109:D110)</f>
        <v>162100</v>
      </c>
      <c r="E111" s="252">
        <f t="shared" si="20"/>
        <v>-478</v>
      </c>
      <c r="F111" s="252">
        <f t="shared" si="20"/>
        <v>0</v>
      </c>
      <c r="G111" s="252">
        <f t="shared" si="20"/>
        <v>0</v>
      </c>
      <c r="H111" s="252">
        <f t="shared" si="20"/>
        <v>0</v>
      </c>
      <c r="I111" s="252">
        <f t="shared" si="20"/>
        <v>0</v>
      </c>
      <c r="J111" s="252">
        <f t="shared" si="20"/>
        <v>0</v>
      </c>
      <c r="K111" s="252">
        <f t="shared" si="20"/>
        <v>161622</v>
      </c>
    </row>
    <row r="112" spans="1:11" ht="12.75">
      <c r="A112" s="41"/>
      <c r="B112" s="42"/>
      <c r="C112" s="24"/>
      <c r="D112" s="29"/>
      <c r="E112" s="31"/>
      <c r="F112" s="33"/>
      <c r="G112" s="31"/>
      <c r="H112" s="33"/>
      <c r="I112" s="93"/>
      <c r="J112" s="123"/>
      <c r="K112" s="25"/>
    </row>
    <row r="113" spans="1:11" ht="13.5" thickBot="1">
      <c r="A113" s="41"/>
      <c r="B113" s="42"/>
      <c r="C113" s="24"/>
      <c r="D113" s="29"/>
      <c r="E113" s="31"/>
      <c r="F113" s="33"/>
      <c r="G113" s="31"/>
      <c r="H113" s="24"/>
      <c r="I113" s="93"/>
      <c r="J113" s="123"/>
      <c r="K113" s="25"/>
    </row>
    <row r="114" spans="1:11" s="256" customFormat="1" ht="13.5" thickBot="1">
      <c r="A114" s="43" t="s">
        <v>47</v>
      </c>
      <c r="B114" s="44" t="s">
        <v>164</v>
      </c>
      <c r="C114" s="252">
        <f>SUM('FY 09-11 DD 1416 Tracker-Total'!F66+'FY 09-11 DD 1416 Tracker-Total'!F67+'FY 09-11 DD 1416 Tracker-Total'!F69+'FY 09-11 DD 1416 Tracker-Total'!F71+'FY 09-11 DD 1416 Tracker-Total'!F72+'FY 09-11 DD 1416 Tracker-Total'!F85+'FY 09-11 DD 1416 Tracker-Total'!F89+'FY 09-11 DD 1416 Tracker-Total'!F130)</f>
        <v>671379</v>
      </c>
      <c r="D114" s="252">
        <f>SUM('FY 09-11 DD 1416 Tracker-Total'!J66+'FY 09-11 DD 1416 Tracker-Total'!J67+'FY 09-11 DD 1416 Tracker-Total'!J69+'FY 09-11 DD 1416 Tracker-Total'!J71+'FY 09-11 DD 1416 Tracker-Total'!J72+'FY 09-11 DD 1416 Tracker-Total'!J85+'FY 09-11 DD 1416 Tracker-Total'!J89+'FY 09-11 DD 1416 Tracker-Total'!J130)</f>
        <v>648379</v>
      </c>
      <c r="E114" s="253">
        <f>SUM('FY 09-11 DD 1416 Tracker-Total'!M66+'FY 09-11 DD 1416 Tracker-Total'!M69+'FY 09-11 DD 1416 Tracker-Total'!M71+'FY 09-11 DD 1416 Tracker-Total'!M72+'FY 09-11 DD 1416 Tracker-Total'!M85+'FY 09-11 DD 1416 Tracker-Total'!M89+'FY 09-11 DD 1416 Tracker-Total'!M130)</f>
        <v>-1912</v>
      </c>
      <c r="F114" s="252">
        <f>SUM('FY 09-11 DD 1416 Tracker-Class'!S49)</f>
        <v>0</v>
      </c>
      <c r="G114" s="253">
        <f>SUM('FY 09-11 DD 1416 Tracker-Total'!X73+'FY 09-11 DD 1416 Tracker-Total'!X85+'FY 09-11 DD 1416 Tracker-Total'!X89+'FY 09-11 DD 1416 Tracker-Total'!X130)</f>
        <v>66597</v>
      </c>
      <c r="H114" s="252">
        <f>SUM('FY 09-11 DD 1416 Tracker-Class'!V49)</f>
        <v>0</v>
      </c>
      <c r="I114" s="253">
        <f>SUM('FY 09-11 DD 1416 Tracker-Total'!AB73+'FY 09-11 DD 1416 Tracker-Total'!AB85+'FY 09-11 DD 1416 Tracker-Total'!AB89+'FY 09-11 DD 1416 Tracker-Total'!AB130)</f>
        <v>-2000</v>
      </c>
      <c r="J114" s="252">
        <f>SUM('FY 09-11 DD 1416 Tracker-Total'!AU66+'FY 09-11 DD 1416 Tracker-Total'!AU67+'FY 09-11 DD 1416 Tracker-Total'!AU69+'FY 09-11 DD 1416 Tracker-Total'!AU71+'FY 09-11 DD 1416 Tracker-Total'!AU80+'FY 09-11 DD 1416 Tracker-Total'!AU85+'FY 09-11 DD 1416 Tracker-Total'!AU89+'FY 09-11 DD 1416 Tracker-Total'!AU130)</f>
        <v>0</v>
      </c>
      <c r="K114" s="250">
        <f>SUM(D114:J114)</f>
        <v>711064</v>
      </c>
    </row>
    <row r="115" spans="1:11" s="22" customFormat="1" ht="13.5" thickBot="1">
      <c r="A115" s="224"/>
      <c r="B115" s="225"/>
      <c r="C115" s="116"/>
      <c r="D115" s="59"/>
      <c r="E115" s="94"/>
      <c r="F115" s="116"/>
      <c r="G115" s="94"/>
      <c r="H115" s="116"/>
      <c r="I115" s="94"/>
      <c r="J115" s="116"/>
      <c r="K115" s="96"/>
    </row>
    <row r="116" spans="1:11" s="10" customFormat="1" ht="13.5" thickBot="1">
      <c r="A116" s="43" t="s">
        <v>175</v>
      </c>
      <c r="B116" s="39" t="s">
        <v>59</v>
      </c>
      <c r="C116" s="252">
        <f>SUM(C61+C99+C107+C114)</f>
        <v>3164228</v>
      </c>
      <c r="D116" s="252">
        <f aca="true" t="shared" si="21" ref="D116:K116">SUM(D61+D99+D107+D111+D114)</f>
        <v>3306269</v>
      </c>
      <c r="E116" s="252">
        <f t="shared" si="21"/>
        <v>-9749</v>
      </c>
      <c r="F116" s="252">
        <f t="shared" si="21"/>
        <v>0</v>
      </c>
      <c r="G116" s="252">
        <f t="shared" si="21"/>
        <v>177237</v>
      </c>
      <c r="H116" s="252">
        <f t="shared" si="21"/>
        <v>0</v>
      </c>
      <c r="I116" s="252">
        <f t="shared" si="21"/>
        <v>1066</v>
      </c>
      <c r="J116" s="252">
        <f t="shared" si="21"/>
        <v>-512</v>
      </c>
      <c r="K116" s="252">
        <f t="shared" si="21"/>
        <v>3474312</v>
      </c>
    </row>
    <row r="117" ht="12.75">
      <c r="A117" s="50"/>
    </row>
    <row r="118" ht="12.75">
      <c r="A118" s="50"/>
    </row>
    <row r="119" ht="12.75">
      <c r="A119" s="50"/>
    </row>
    <row r="120" ht="12.75">
      <c r="A120" s="50"/>
    </row>
    <row r="121" spans="1:11" s="11" customFormat="1" ht="12.75">
      <c r="A121" s="216" t="s">
        <v>68</v>
      </c>
      <c r="B121" s="45"/>
      <c r="C121" s="46">
        <v>3164228</v>
      </c>
      <c r="D121" s="46">
        <v>3306269</v>
      </c>
      <c r="E121" s="46">
        <v>-9749</v>
      </c>
      <c r="F121" s="46">
        <v>0</v>
      </c>
      <c r="G121" s="46">
        <v>177237</v>
      </c>
      <c r="H121" s="46">
        <v>0</v>
      </c>
      <c r="I121" s="46">
        <v>3066</v>
      </c>
      <c r="J121" s="46">
        <f>SUM(J116)</f>
        <v>-512</v>
      </c>
      <c r="K121" s="46">
        <v>3476823</v>
      </c>
    </row>
    <row r="123" spans="1:11" ht="12.75">
      <c r="A123" s="248" t="s">
        <v>189</v>
      </c>
      <c r="C123" s="16">
        <f>SUM(C116-C121)</f>
        <v>0</v>
      </c>
      <c r="D123" s="16">
        <f aca="true" t="shared" si="22" ref="D123:K123">SUM(D116-D121)</f>
        <v>0</v>
      </c>
      <c r="E123" s="16">
        <f t="shared" si="22"/>
        <v>0</v>
      </c>
      <c r="F123" s="16">
        <f t="shared" si="22"/>
        <v>0</v>
      </c>
      <c r="G123" s="16">
        <f t="shared" si="22"/>
        <v>0</v>
      </c>
      <c r="H123" s="16">
        <f t="shared" si="22"/>
        <v>0</v>
      </c>
      <c r="I123" s="22">
        <f t="shared" si="22"/>
        <v>-2000</v>
      </c>
      <c r="J123" s="22">
        <f t="shared" si="22"/>
        <v>0</v>
      </c>
      <c r="K123" s="16">
        <f t="shared" si="22"/>
        <v>-2511</v>
      </c>
    </row>
    <row r="124" ht="12.75">
      <c r="C124" s="16"/>
    </row>
    <row r="125" ht="12.75">
      <c r="A125" s="12" t="s">
        <v>196</v>
      </c>
    </row>
  </sheetData>
  <sheetProtection/>
  <printOptions/>
  <pageMargins left="0.75" right="0.75" top="1" bottom="1" header="0.5" footer="0.5"/>
  <pageSetup horizontalDpi="600" verticalDpi="600" orientation="landscape" scale="50" r:id="rId1"/>
  <headerFooter alignWithMargins="0">
    <oddHeader>&amp;CFY2008/2010
PROCUREMENT, DEFENSE-WIDE
DD1416
As of 30 September
 2008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25"/>
  <sheetViews>
    <sheetView zoomScalePageLayoutView="0" workbookViewId="0" topLeftCell="A1">
      <pane xSplit="1" ySplit="5" topLeftCell="H8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91" sqref="K91"/>
    </sheetView>
  </sheetViews>
  <sheetFormatPr defaultColWidth="9.140625" defaultRowHeight="12.75"/>
  <cols>
    <col min="1" max="1" width="51.140625" style="12" customWidth="1"/>
    <col min="2" max="2" width="56.7109375" style="27" customWidth="1"/>
    <col min="3" max="3" width="12.421875" style="27" customWidth="1"/>
    <col min="4" max="4" width="14.57421875" style="27" customWidth="1"/>
    <col min="5" max="5" width="15.8515625" style="27" customWidth="1"/>
    <col min="6" max="6" width="15.421875" style="27" customWidth="1"/>
    <col min="7" max="7" width="14.8515625" style="27" customWidth="1"/>
    <col min="8" max="8" width="15.421875" style="27" customWidth="1"/>
    <col min="9" max="9" width="14.140625" style="21" customWidth="1"/>
    <col min="10" max="10" width="14.28125" style="21" customWidth="1"/>
    <col min="11" max="11" width="11.57421875" style="16" customWidth="1"/>
    <col min="12" max="12" width="3.7109375" style="27" customWidth="1"/>
    <col min="13" max="13" width="9.140625" style="27" customWidth="1"/>
    <col min="14" max="14" width="9.7109375" style="27" bestFit="1" customWidth="1"/>
    <col min="15" max="16384" width="9.140625" style="27" customWidth="1"/>
  </cols>
  <sheetData>
    <row r="2" spans="4:10" ht="12.75">
      <c r="D2" s="227"/>
      <c r="H2" s="227"/>
      <c r="J2" s="249"/>
    </row>
    <row r="3" spans="4:10" ht="12.75">
      <c r="D3" s="227"/>
      <c r="E3" s="69"/>
      <c r="H3" s="227"/>
      <c r="J3" s="249"/>
    </row>
    <row r="4" spans="4:10" ht="13.5" thickBot="1">
      <c r="D4" s="227"/>
      <c r="E4" s="112"/>
      <c r="G4" s="227"/>
      <c r="H4" s="227"/>
      <c r="I4" s="249"/>
      <c r="J4" s="249"/>
    </row>
    <row r="5" spans="1:12" ht="51" customHeight="1" thickBot="1">
      <c r="A5" s="48" t="s">
        <v>165</v>
      </c>
      <c r="B5" s="47" t="s">
        <v>166</v>
      </c>
      <c r="C5" s="53" t="s">
        <v>50</v>
      </c>
      <c r="D5" s="55" t="s">
        <v>51</v>
      </c>
      <c r="E5" s="53" t="s">
        <v>52</v>
      </c>
      <c r="F5" s="54" t="s">
        <v>53</v>
      </c>
      <c r="G5" s="54" t="s">
        <v>54</v>
      </c>
      <c r="H5" s="54" t="s">
        <v>55</v>
      </c>
      <c r="I5" s="54" t="s">
        <v>56</v>
      </c>
      <c r="J5" s="54" t="s">
        <v>57</v>
      </c>
      <c r="K5" s="219" t="s">
        <v>58</v>
      </c>
      <c r="L5" s="28"/>
    </row>
    <row r="6" spans="1:11" ht="12.75">
      <c r="A6" s="244"/>
      <c r="B6" s="29"/>
      <c r="C6" s="30"/>
      <c r="D6" s="29"/>
      <c r="E6" s="31"/>
      <c r="F6" s="30"/>
      <c r="G6" s="31"/>
      <c r="H6" s="30"/>
      <c r="I6" s="93"/>
      <c r="J6" s="122"/>
      <c r="K6" s="25"/>
    </row>
    <row r="7" spans="1:11" ht="12.75">
      <c r="A7" s="50"/>
      <c r="B7" s="32"/>
      <c r="C7" s="33"/>
      <c r="D7" s="29"/>
      <c r="E7" s="31"/>
      <c r="F7" s="33"/>
      <c r="G7" s="31"/>
      <c r="H7" s="33"/>
      <c r="I7" s="93"/>
      <c r="J7" s="123"/>
      <c r="K7" s="25"/>
    </row>
    <row r="8" spans="1:11" ht="12.75">
      <c r="A8" s="50" t="s">
        <v>63</v>
      </c>
      <c r="B8" s="7" t="s">
        <v>12</v>
      </c>
      <c r="C8" s="24">
        <v>105946</v>
      </c>
      <c r="D8" s="25">
        <v>105946</v>
      </c>
      <c r="E8" s="26">
        <v>-312</v>
      </c>
      <c r="F8" s="24">
        <v>0</v>
      </c>
      <c r="G8" s="26">
        <v>0</v>
      </c>
      <c r="H8" s="24">
        <v>0</v>
      </c>
      <c r="I8" s="94">
        <v>0</v>
      </c>
      <c r="J8" s="116">
        <f>SUM('FY 09-11 DD 1416 Tracker-Total'!AU14)</f>
        <v>-512</v>
      </c>
      <c r="K8" s="25">
        <f>SUM(D8:J8)</f>
        <v>105122</v>
      </c>
    </row>
    <row r="9" spans="1:11" s="11" customFormat="1" ht="12.75">
      <c r="A9" s="257"/>
      <c r="B9" s="258" t="s">
        <v>113</v>
      </c>
      <c r="C9" s="260">
        <f aca="true" t="shared" si="0" ref="C9:I9">SUM(C8)</f>
        <v>105946</v>
      </c>
      <c r="D9" s="260">
        <f t="shared" si="0"/>
        <v>105946</v>
      </c>
      <c r="E9" s="260">
        <f t="shared" si="0"/>
        <v>-312</v>
      </c>
      <c r="F9" s="260">
        <f t="shared" si="0"/>
        <v>0</v>
      </c>
      <c r="G9" s="260">
        <f t="shared" si="0"/>
        <v>0</v>
      </c>
      <c r="H9" s="260">
        <f t="shared" si="0"/>
        <v>0</v>
      </c>
      <c r="I9" s="260">
        <f t="shared" si="0"/>
        <v>0</v>
      </c>
      <c r="J9" s="260">
        <f>SUM(J8:J8)</f>
        <v>-512</v>
      </c>
      <c r="K9" s="260">
        <f>SUM(K8:K8)</f>
        <v>105122</v>
      </c>
    </row>
    <row r="10" spans="1:11" ht="12.75">
      <c r="A10" s="50"/>
      <c r="B10" s="23"/>
      <c r="C10" s="24"/>
      <c r="D10" s="25"/>
      <c r="E10" s="26"/>
      <c r="F10" s="24"/>
      <c r="G10" s="26"/>
      <c r="H10" s="24"/>
      <c r="I10" s="94"/>
      <c r="J10" s="116"/>
      <c r="K10" s="25"/>
    </row>
    <row r="11" spans="1:11" ht="12.75">
      <c r="A11" s="50" t="s">
        <v>65</v>
      </c>
      <c r="B11" t="s">
        <v>116</v>
      </c>
      <c r="C11" s="24">
        <f>SUM('FY 09-11 DD 1416 Tracker-Total'!P18)</f>
        <v>0</v>
      </c>
      <c r="D11" s="25">
        <f>SUM('FY 09-11 DD 1416 Tracker-Total'!J18)</f>
        <v>0</v>
      </c>
      <c r="E11" s="26">
        <f>SUM('FY 09-11 DD 1416 Tracker-Total'!M18)</f>
        <v>0</v>
      </c>
      <c r="F11" s="24">
        <v>0</v>
      </c>
      <c r="G11" s="26">
        <v>0</v>
      </c>
      <c r="H11" s="24">
        <v>0</v>
      </c>
      <c r="I11" s="94">
        <v>0</v>
      </c>
      <c r="J11" s="116">
        <v>0</v>
      </c>
      <c r="K11" s="59">
        <f>SUM(D11:J11)</f>
        <v>0</v>
      </c>
    </row>
    <row r="12" spans="1:11" ht="12.75">
      <c r="A12" s="50"/>
      <c r="B12" t="s">
        <v>12</v>
      </c>
      <c r="C12" s="24">
        <v>26649</v>
      </c>
      <c r="D12" s="25">
        <v>26649</v>
      </c>
      <c r="E12" s="26">
        <v>-79</v>
      </c>
      <c r="F12" s="24">
        <v>0</v>
      </c>
      <c r="G12" s="26">
        <v>0</v>
      </c>
      <c r="H12" s="24">
        <v>0</v>
      </c>
      <c r="I12" s="94">
        <v>0</v>
      </c>
      <c r="J12" s="116">
        <v>0</v>
      </c>
      <c r="K12" s="59">
        <f>SUM(D12:J12)</f>
        <v>26570</v>
      </c>
    </row>
    <row r="13" spans="1:11" s="11" customFormat="1" ht="12.75">
      <c r="A13" s="257"/>
      <c r="B13" s="259" t="s">
        <v>49</v>
      </c>
      <c r="C13" s="260">
        <f>SUM(C11:C12)</f>
        <v>26649</v>
      </c>
      <c r="D13" s="260">
        <f aca="true" t="shared" si="1" ref="D13:K13">SUM(D11:D12)</f>
        <v>26649</v>
      </c>
      <c r="E13" s="260">
        <f t="shared" si="1"/>
        <v>-79</v>
      </c>
      <c r="F13" s="260">
        <f t="shared" si="1"/>
        <v>0</v>
      </c>
      <c r="G13" s="260">
        <f t="shared" si="1"/>
        <v>0</v>
      </c>
      <c r="H13" s="260">
        <f t="shared" si="1"/>
        <v>0</v>
      </c>
      <c r="I13" s="260">
        <f t="shared" si="1"/>
        <v>0</v>
      </c>
      <c r="J13" s="260">
        <f t="shared" si="1"/>
        <v>0</v>
      </c>
      <c r="K13" s="260">
        <f t="shared" si="1"/>
        <v>26570</v>
      </c>
    </row>
    <row r="14" spans="1:11" ht="12.75">
      <c r="A14" s="50"/>
      <c r="B14" s="23"/>
      <c r="C14" s="24"/>
      <c r="D14" s="25"/>
      <c r="E14" s="26"/>
      <c r="F14" s="24"/>
      <c r="G14" s="26"/>
      <c r="H14" s="24"/>
      <c r="I14" s="94"/>
      <c r="J14" s="116"/>
      <c r="K14" s="25"/>
    </row>
    <row r="15" spans="1:11" ht="12.75">
      <c r="A15" s="50" t="s">
        <v>167</v>
      </c>
      <c r="B15" s="3" t="s">
        <v>6</v>
      </c>
      <c r="C15" s="24">
        <v>54934</v>
      </c>
      <c r="D15" s="25">
        <v>48734</v>
      </c>
      <c r="E15" s="26">
        <v>-144</v>
      </c>
      <c r="F15" s="24">
        <v>0</v>
      </c>
      <c r="G15" s="24">
        <v>0</v>
      </c>
      <c r="H15" s="24">
        <v>0</v>
      </c>
      <c r="I15" s="24">
        <v>0</v>
      </c>
      <c r="J15" s="24">
        <v>-1236</v>
      </c>
      <c r="K15" s="59">
        <f>SUM(D15:J15)</f>
        <v>47354</v>
      </c>
    </row>
    <row r="16" spans="1:11" ht="12.75">
      <c r="A16" s="50"/>
      <c r="B16" s="3" t="s">
        <v>248</v>
      </c>
      <c r="C16" s="24">
        <v>10973</v>
      </c>
      <c r="D16" s="25">
        <v>10973</v>
      </c>
      <c r="E16" s="26">
        <v>-32</v>
      </c>
      <c r="F16" s="24">
        <v>0</v>
      </c>
      <c r="G16" s="24">
        <v>0</v>
      </c>
      <c r="H16" s="24">
        <v>0</v>
      </c>
      <c r="I16" s="24">
        <v>0</v>
      </c>
      <c r="J16" s="24">
        <v>-500</v>
      </c>
      <c r="K16" s="59">
        <f aca="true" t="shared" si="2" ref="K16:K25">SUM(D16:J16)</f>
        <v>10441</v>
      </c>
    </row>
    <row r="17" spans="1:11" ht="12.75">
      <c r="A17" s="50"/>
      <c r="B17" s="3" t="s">
        <v>7</v>
      </c>
      <c r="C17" s="24">
        <v>2788</v>
      </c>
      <c r="D17" s="25">
        <v>2788</v>
      </c>
      <c r="E17" s="26">
        <v>-8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59">
        <f t="shared" si="2"/>
        <v>2780</v>
      </c>
    </row>
    <row r="18" spans="1:11" ht="12.75">
      <c r="A18" s="50"/>
      <c r="B18" s="3" t="s">
        <v>8</v>
      </c>
      <c r="C18" s="24">
        <v>15062</v>
      </c>
      <c r="D18" s="25">
        <v>15062</v>
      </c>
      <c r="E18" s="26">
        <v>-44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59">
        <f t="shared" si="2"/>
        <v>15018</v>
      </c>
    </row>
    <row r="19" spans="1:11" ht="12.75">
      <c r="A19" s="50"/>
      <c r="B19" s="3" t="s">
        <v>9</v>
      </c>
      <c r="C19" s="24">
        <v>121296</v>
      </c>
      <c r="D19" s="25">
        <v>111296</v>
      </c>
      <c r="E19" s="26">
        <v>-328</v>
      </c>
      <c r="F19" s="24">
        <v>0</v>
      </c>
      <c r="G19" s="24">
        <v>0</v>
      </c>
      <c r="H19" s="24">
        <v>0</v>
      </c>
      <c r="I19" s="24">
        <v>0</v>
      </c>
      <c r="J19" s="24">
        <v>3200</v>
      </c>
      <c r="K19" s="59">
        <f t="shared" si="2"/>
        <v>114168</v>
      </c>
    </row>
    <row r="20" spans="1:11" ht="12.75">
      <c r="A20" s="50"/>
      <c r="B20" s="3" t="s">
        <v>10</v>
      </c>
      <c r="C20" s="24">
        <v>36765</v>
      </c>
      <c r="D20" s="25">
        <v>36765</v>
      </c>
      <c r="E20" s="26">
        <v>-108</v>
      </c>
      <c r="F20" s="24">
        <v>0</v>
      </c>
      <c r="G20" s="24">
        <v>0</v>
      </c>
      <c r="H20" s="24">
        <v>0</v>
      </c>
      <c r="I20" s="24">
        <v>0</v>
      </c>
      <c r="J20" s="24">
        <v>-2700</v>
      </c>
      <c r="K20" s="59">
        <f t="shared" si="2"/>
        <v>33957</v>
      </c>
    </row>
    <row r="21" spans="1:11" ht="12.75">
      <c r="A21" s="50"/>
      <c r="B21" s="3" t="s">
        <v>197</v>
      </c>
      <c r="C21" s="24">
        <v>90328</v>
      </c>
      <c r="D21" s="25">
        <v>90328</v>
      </c>
      <c r="E21" s="26">
        <v>-266</v>
      </c>
      <c r="F21" s="24">
        <v>0</v>
      </c>
      <c r="G21" s="24">
        <v>0</v>
      </c>
      <c r="H21" s="24">
        <v>0</v>
      </c>
      <c r="I21" s="24">
        <v>0</v>
      </c>
      <c r="J21" s="24">
        <v>1236</v>
      </c>
      <c r="K21" s="59">
        <f t="shared" si="2"/>
        <v>91298</v>
      </c>
    </row>
    <row r="22" spans="1:11" ht="12.75">
      <c r="A22" s="50"/>
      <c r="B22" s="3" t="s">
        <v>203</v>
      </c>
      <c r="C22" s="24">
        <v>1895</v>
      </c>
      <c r="D22" s="25">
        <v>1894</v>
      </c>
      <c r="E22" s="26">
        <v>-6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59">
        <f t="shared" si="2"/>
        <v>1888</v>
      </c>
    </row>
    <row r="23" spans="1:11" ht="12.75">
      <c r="A23" s="50"/>
      <c r="B23" s="117" t="s">
        <v>184</v>
      </c>
      <c r="C23" s="24">
        <v>0</v>
      </c>
      <c r="D23" s="25">
        <v>0</v>
      </c>
      <c r="E23" s="26">
        <v>0</v>
      </c>
      <c r="F23" s="24">
        <v>0</v>
      </c>
      <c r="G23" s="24">
        <v>0</v>
      </c>
      <c r="H23" s="24">
        <v>0</v>
      </c>
      <c r="I23" s="24">
        <v>659</v>
      </c>
      <c r="J23" s="24">
        <v>0</v>
      </c>
      <c r="K23" s="59">
        <f t="shared" si="2"/>
        <v>659</v>
      </c>
    </row>
    <row r="24" spans="1:11" ht="12.75">
      <c r="A24" s="50"/>
      <c r="B24" s="117" t="s">
        <v>212</v>
      </c>
      <c r="C24" s="24">
        <v>7952</v>
      </c>
      <c r="D24" s="25">
        <v>4000</v>
      </c>
      <c r="E24" s="26">
        <v>-12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59">
        <f t="shared" si="2"/>
        <v>3988</v>
      </c>
    </row>
    <row r="25" spans="1:11" ht="12.75">
      <c r="A25" s="50"/>
      <c r="B25" s="117" t="s">
        <v>213</v>
      </c>
      <c r="C25" s="24">
        <v>19100</v>
      </c>
      <c r="D25" s="25">
        <v>19100</v>
      </c>
      <c r="E25" s="26">
        <v>-56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59">
        <f t="shared" si="2"/>
        <v>19044</v>
      </c>
    </row>
    <row r="26" spans="1:11" s="11" customFormat="1" ht="12.75">
      <c r="A26" s="257"/>
      <c r="B26" s="259" t="s">
        <v>67</v>
      </c>
      <c r="C26" s="260">
        <f>SUM(C15:C25)-1</f>
        <v>361092</v>
      </c>
      <c r="D26" s="260">
        <f aca="true" t="shared" si="3" ref="D26:K26">SUM(D15:D25)</f>
        <v>340940</v>
      </c>
      <c r="E26" s="261">
        <f t="shared" si="3"/>
        <v>-1004</v>
      </c>
      <c r="F26" s="260">
        <f t="shared" si="3"/>
        <v>0</v>
      </c>
      <c r="G26" s="262">
        <f t="shared" si="3"/>
        <v>0</v>
      </c>
      <c r="H26" s="260">
        <f t="shared" si="3"/>
        <v>0</v>
      </c>
      <c r="I26" s="260">
        <f t="shared" si="3"/>
        <v>659</v>
      </c>
      <c r="J26" s="260">
        <f t="shared" si="3"/>
        <v>0</v>
      </c>
      <c r="K26" s="260">
        <f t="shared" si="3"/>
        <v>340595</v>
      </c>
    </row>
    <row r="27" spans="1:11" ht="12.75">
      <c r="A27" s="50"/>
      <c r="B27" s="23"/>
      <c r="C27" s="24"/>
      <c r="D27" s="25"/>
      <c r="E27" s="26"/>
      <c r="F27" s="24"/>
      <c r="G27" s="26"/>
      <c r="H27" s="24"/>
      <c r="I27" s="94"/>
      <c r="J27" s="116"/>
      <c r="K27" s="25"/>
    </row>
    <row r="28" spans="1:11" ht="12.75">
      <c r="A28" s="50" t="s">
        <v>61</v>
      </c>
      <c r="B28" t="s">
        <v>12</v>
      </c>
      <c r="C28" s="24">
        <v>8789</v>
      </c>
      <c r="D28" s="25">
        <v>8789</v>
      </c>
      <c r="E28" s="26">
        <v>-26</v>
      </c>
      <c r="F28" s="24">
        <v>0</v>
      </c>
      <c r="G28" s="26">
        <v>0</v>
      </c>
      <c r="H28" s="24">
        <v>0</v>
      </c>
      <c r="I28" s="94">
        <v>0</v>
      </c>
      <c r="J28" s="116">
        <v>0</v>
      </c>
      <c r="K28" s="59">
        <f>SUM(D28:J28)</f>
        <v>8763</v>
      </c>
    </row>
    <row r="29" spans="1:11" ht="12.75">
      <c r="A29" s="257"/>
      <c r="B29" s="259" t="s">
        <v>117</v>
      </c>
      <c r="C29" s="260">
        <f>SUM(C28)</f>
        <v>8789</v>
      </c>
      <c r="D29" s="260">
        <f aca="true" t="shared" si="4" ref="D29:K29">SUM(D28)</f>
        <v>8789</v>
      </c>
      <c r="E29" s="260">
        <f t="shared" si="4"/>
        <v>-26</v>
      </c>
      <c r="F29" s="260">
        <f t="shared" si="4"/>
        <v>0</v>
      </c>
      <c r="G29" s="260">
        <f t="shared" si="4"/>
        <v>0</v>
      </c>
      <c r="H29" s="260">
        <f t="shared" si="4"/>
        <v>0</v>
      </c>
      <c r="I29" s="260">
        <f t="shared" si="4"/>
        <v>0</v>
      </c>
      <c r="J29" s="260">
        <f t="shared" si="4"/>
        <v>0</v>
      </c>
      <c r="K29" s="260">
        <f t="shared" si="4"/>
        <v>8763</v>
      </c>
    </row>
    <row r="30" spans="1:11" ht="12.75">
      <c r="A30" s="50"/>
      <c r="B30" s="34"/>
      <c r="C30" s="24"/>
      <c r="D30" s="25"/>
      <c r="E30" s="26"/>
      <c r="F30" s="24"/>
      <c r="G30" s="26"/>
      <c r="H30" s="24"/>
      <c r="I30" s="94"/>
      <c r="J30" s="116"/>
      <c r="K30" s="25"/>
    </row>
    <row r="31" spans="1:11" ht="12.75">
      <c r="A31" s="50" t="s">
        <v>60</v>
      </c>
      <c r="B31" t="s">
        <v>118</v>
      </c>
      <c r="C31" s="24">
        <v>1523</v>
      </c>
      <c r="D31" s="25">
        <v>3923</v>
      </c>
      <c r="E31" s="26">
        <v>-12</v>
      </c>
      <c r="F31" s="24">
        <v>0</v>
      </c>
      <c r="G31" s="26">
        <v>0</v>
      </c>
      <c r="H31" s="24">
        <v>0</v>
      </c>
      <c r="I31" s="94">
        <v>0</v>
      </c>
      <c r="J31" s="116">
        <v>0</v>
      </c>
      <c r="K31" s="59">
        <f>SUM(D31:J31)</f>
        <v>3911</v>
      </c>
    </row>
    <row r="32" spans="1:11" s="11" customFormat="1" ht="12.75">
      <c r="A32" s="257"/>
      <c r="B32" s="259" t="s">
        <v>119</v>
      </c>
      <c r="C32" s="260">
        <f>SUM(C31)</f>
        <v>1523</v>
      </c>
      <c r="D32" s="260">
        <f aca="true" t="shared" si="5" ref="D32:K32">SUM(D31)</f>
        <v>3923</v>
      </c>
      <c r="E32" s="260">
        <f t="shared" si="5"/>
        <v>-12</v>
      </c>
      <c r="F32" s="260">
        <f t="shared" si="5"/>
        <v>0</v>
      </c>
      <c r="G32" s="260">
        <f t="shared" si="5"/>
        <v>0</v>
      </c>
      <c r="H32" s="260">
        <f t="shared" si="5"/>
        <v>0</v>
      </c>
      <c r="I32" s="260">
        <f t="shared" si="5"/>
        <v>0</v>
      </c>
      <c r="J32" s="260">
        <f t="shared" si="5"/>
        <v>0</v>
      </c>
      <c r="K32" s="260">
        <f t="shared" si="5"/>
        <v>3911</v>
      </c>
    </row>
    <row r="33" spans="1:11" ht="12.75">
      <c r="A33" s="50"/>
      <c r="B33" s="34"/>
      <c r="C33" s="24"/>
      <c r="D33" s="25"/>
      <c r="E33" s="26"/>
      <c r="F33" s="24"/>
      <c r="G33" s="26"/>
      <c r="H33" s="24"/>
      <c r="I33" s="94"/>
      <c r="J33" s="116"/>
      <c r="K33" s="25"/>
    </row>
    <row r="34" spans="1:11" ht="12.75">
      <c r="A34" s="50" t="s">
        <v>64</v>
      </c>
      <c r="B34" t="s">
        <v>12</v>
      </c>
      <c r="C34" s="24">
        <v>25897</v>
      </c>
      <c r="D34" s="25">
        <v>25897</v>
      </c>
      <c r="E34" s="26">
        <v>-86</v>
      </c>
      <c r="F34" s="24">
        <v>0</v>
      </c>
      <c r="G34" s="26">
        <v>0</v>
      </c>
      <c r="H34" s="24">
        <v>0</v>
      </c>
      <c r="I34" s="94">
        <v>0</v>
      </c>
      <c r="J34" s="116">
        <v>0</v>
      </c>
      <c r="K34" s="59">
        <f>SUM(D34:J34)+2</f>
        <v>25813</v>
      </c>
    </row>
    <row r="35" spans="1:11" s="11" customFormat="1" ht="12.75">
      <c r="A35" s="257"/>
      <c r="B35" s="259" t="s">
        <v>121</v>
      </c>
      <c r="C35" s="260">
        <f>SUM(C34)</f>
        <v>25897</v>
      </c>
      <c r="D35" s="260">
        <f aca="true" t="shared" si="6" ref="D35:K35">SUM(D34)</f>
        <v>25897</v>
      </c>
      <c r="E35" s="260">
        <f t="shared" si="6"/>
        <v>-86</v>
      </c>
      <c r="F35" s="260">
        <f t="shared" si="6"/>
        <v>0</v>
      </c>
      <c r="G35" s="260">
        <f t="shared" si="6"/>
        <v>0</v>
      </c>
      <c r="H35" s="260">
        <f t="shared" si="6"/>
        <v>0</v>
      </c>
      <c r="I35" s="260">
        <f t="shared" si="6"/>
        <v>0</v>
      </c>
      <c r="J35" s="260">
        <f t="shared" si="6"/>
        <v>0</v>
      </c>
      <c r="K35" s="260">
        <f t="shared" si="6"/>
        <v>25813</v>
      </c>
    </row>
    <row r="36" spans="1:11" ht="12.75">
      <c r="A36" s="50"/>
      <c r="B36" s="34"/>
      <c r="C36" s="24"/>
      <c r="D36" s="25"/>
      <c r="E36" s="26"/>
      <c r="F36" s="24"/>
      <c r="G36" s="26"/>
      <c r="H36" s="24"/>
      <c r="I36" s="94"/>
      <c r="J36" s="116"/>
      <c r="K36" s="25"/>
    </row>
    <row r="37" spans="1:11" ht="12.75">
      <c r="A37" s="50" t="s">
        <v>168</v>
      </c>
      <c r="B37" t="s">
        <v>15</v>
      </c>
      <c r="C37" s="24">
        <v>19214</v>
      </c>
      <c r="D37" s="25">
        <v>10014</v>
      </c>
      <c r="E37" s="26">
        <v>-30</v>
      </c>
      <c r="F37" s="24">
        <v>0</v>
      </c>
      <c r="G37" s="26">
        <v>0</v>
      </c>
      <c r="H37" s="24">
        <v>0</v>
      </c>
      <c r="I37" s="94">
        <v>0</v>
      </c>
      <c r="J37" s="116">
        <v>0</v>
      </c>
      <c r="K37" s="59">
        <f>SUM(D37:J37)</f>
        <v>9984</v>
      </c>
    </row>
    <row r="38" spans="1:11" s="11" customFormat="1" ht="12.75">
      <c r="A38" s="257"/>
      <c r="B38" s="259" t="s">
        <v>122</v>
      </c>
      <c r="C38" s="260">
        <f>SUM(C37)</f>
        <v>19214</v>
      </c>
      <c r="D38" s="260">
        <f aca="true" t="shared" si="7" ref="D38:K38">SUM(D37)</f>
        <v>10014</v>
      </c>
      <c r="E38" s="260">
        <f t="shared" si="7"/>
        <v>-30</v>
      </c>
      <c r="F38" s="260">
        <f t="shared" si="7"/>
        <v>0</v>
      </c>
      <c r="G38" s="260">
        <f t="shared" si="7"/>
        <v>0</v>
      </c>
      <c r="H38" s="260">
        <f t="shared" si="7"/>
        <v>0</v>
      </c>
      <c r="I38" s="260">
        <f t="shared" si="7"/>
        <v>0</v>
      </c>
      <c r="J38" s="260">
        <f t="shared" si="7"/>
        <v>0</v>
      </c>
      <c r="K38" s="260">
        <f t="shared" si="7"/>
        <v>9984</v>
      </c>
    </row>
    <row r="39" spans="1:11" ht="12.75">
      <c r="A39" s="50"/>
      <c r="B39" s="35"/>
      <c r="C39" s="24"/>
      <c r="D39" s="25"/>
      <c r="E39" s="26"/>
      <c r="F39" s="24"/>
      <c r="G39" s="26"/>
      <c r="H39" s="24"/>
      <c r="I39" s="94"/>
      <c r="J39" s="116"/>
      <c r="K39" s="25"/>
    </row>
    <row r="40" spans="1:11" ht="12.75">
      <c r="A40" s="50" t="s">
        <v>62</v>
      </c>
      <c r="B40" t="s">
        <v>17</v>
      </c>
      <c r="C40" s="24">
        <v>5621</v>
      </c>
      <c r="D40" s="25">
        <v>8821</v>
      </c>
      <c r="E40" s="26">
        <v>-17</v>
      </c>
      <c r="F40" s="24">
        <v>0</v>
      </c>
      <c r="G40" s="26">
        <v>0</v>
      </c>
      <c r="H40" s="24">
        <v>0</v>
      </c>
      <c r="I40" s="94">
        <v>0</v>
      </c>
      <c r="J40" s="116">
        <v>0</v>
      </c>
      <c r="K40" s="59">
        <f>SUM(D40:J40)-1</f>
        <v>8803</v>
      </c>
    </row>
    <row r="41" spans="1:11" s="11" customFormat="1" ht="12.75">
      <c r="A41" s="257"/>
      <c r="B41" s="259" t="s">
        <v>66</v>
      </c>
      <c r="C41" s="260">
        <f>SUM(C40)</f>
        <v>5621</v>
      </c>
      <c r="D41" s="260">
        <f aca="true" t="shared" si="8" ref="D41:K41">SUM(D40)</f>
        <v>8821</v>
      </c>
      <c r="E41" s="260">
        <f t="shared" si="8"/>
        <v>-17</v>
      </c>
      <c r="F41" s="260">
        <f t="shared" si="8"/>
        <v>0</v>
      </c>
      <c r="G41" s="260">
        <f t="shared" si="8"/>
        <v>0</v>
      </c>
      <c r="H41" s="260">
        <f t="shared" si="8"/>
        <v>0</v>
      </c>
      <c r="I41" s="260">
        <f t="shared" si="8"/>
        <v>0</v>
      </c>
      <c r="J41" s="260">
        <f t="shared" si="8"/>
        <v>0</v>
      </c>
      <c r="K41" s="260">
        <f t="shared" si="8"/>
        <v>8803</v>
      </c>
    </row>
    <row r="42" spans="1:11" ht="12.75">
      <c r="A42" s="50"/>
      <c r="B42" s="23"/>
      <c r="C42" s="24"/>
      <c r="D42" s="25"/>
      <c r="E42" s="26"/>
      <c r="F42" s="24"/>
      <c r="G42" s="26"/>
      <c r="H42" s="24"/>
      <c r="I42" s="94"/>
      <c r="J42" s="116"/>
      <c r="K42" s="25"/>
    </row>
    <row r="43" spans="1:11" ht="12.75">
      <c r="A43" s="50" t="s">
        <v>169</v>
      </c>
      <c r="B43" t="s">
        <v>12</v>
      </c>
      <c r="C43" s="24">
        <v>11158</v>
      </c>
      <c r="D43" s="25">
        <v>11158</v>
      </c>
      <c r="E43" s="26">
        <v>-33</v>
      </c>
      <c r="F43" s="24">
        <v>0</v>
      </c>
      <c r="G43" s="26">
        <v>0</v>
      </c>
      <c r="H43" s="24">
        <v>0</v>
      </c>
      <c r="I43" s="94">
        <v>0</v>
      </c>
      <c r="J43" s="116">
        <v>0</v>
      </c>
      <c r="K43" s="59">
        <f>SUM(D43:J43)</f>
        <v>11125</v>
      </c>
    </row>
    <row r="44" spans="1:11" s="11" customFormat="1" ht="12.75">
      <c r="A44" s="257"/>
      <c r="B44" s="259" t="s">
        <v>123</v>
      </c>
      <c r="C44" s="260">
        <f>SUM(C43)</f>
        <v>11158</v>
      </c>
      <c r="D44" s="260">
        <f aca="true" t="shared" si="9" ref="D44:K44">SUM(D43)</f>
        <v>11158</v>
      </c>
      <c r="E44" s="260">
        <f t="shared" si="9"/>
        <v>-33</v>
      </c>
      <c r="F44" s="260">
        <f t="shared" si="9"/>
        <v>0</v>
      </c>
      <c r="G44" s="260">
        <f t="shared" si="9"/>
        <v>0</v>
      </c>
      <c r="H44" s="260">
        <f t="shared" si="9"/>
        <v>0</v>
      </c>
      <c r="I44" s="260">
        <f t="shared" si="9"/>
        <v>0</v>
      </c>
      <c r="J44" s="260">
        <f t="shared" si="9"/>
        <v>0</v>
      </c>
      <c r="K44" s="260">
        <f t="shared" si="9"/>
        <v>11125</v>
      </c>
    </row>
    <row r="45" spans="1:11" ht="12.75">
      <c r="A45" s="50"/>
      <c r="B45" s="23"/>
      <c r="C45" s="24"/>
      <c r="D45" s="25"/>
      <c r="E45" s="26"/>
      <c r="F45" s="24"/>
      <c r="G45" s="26"/>
      <c r="H45" s="24"/>
      <c r="I45" s="94"/>
      <c r="J45" s="116"/>
      <c r="K45" s="25"/>
    </row>
    <row r="46" spans="1:11" ht="12.75">
      <c r="A46" s="50" t="s">
        <v>170</v>
      </c>
      <c r="B46" t="s">
        <v>124</v>
      </c>
      <c r="C46" s="24">
        <v>1498</v>
      </c>
      <c r="D46" s="25">
        <v>1498</v>
      </c>
      <c r="E46" s="26">
        <v>-4</v>
      </c>
      <c r="F46" s="24">
        <v>0</v>
      </c>
      <c r="G46" s="26">
        <v>0</v>
      </c>
      <c r="H46" s="24">
        <v>0</v>
      </c>
      <c r="I46" s="94">
        <v>0</v>
      </c>
      <c r="J46" s="116">
        <v>0</v>
      </c>
      <c r="K46" s="59">
        <f>SUM(D46:J46)</f>
        <v>1494</v>
      </c>
    </row>
    <row r="47" spans="1:11" s="11" customFormat="1" ht="12.75">
      <c r="A47" s="257"/>
      <c r="B47" s="259" t="s">
        <v>125</v>
      </c>
      <c r="C47" s="260">
        <f>SUM(C46)</f>
        <v>1498</v>
      </c>
      <c r="D47" s="260">
        <f aca="true" t="shared" si="10" ref="D47:K47">SUM(D46)</f>
        <v>1498</v>
      </c>
      <c r="E47" s="260">
        <f t="shared" si="10"/>
        <v>-4</v>
      </c>
      <c r="F47" s="260">
        <f t="shared" si="10"/>
        <v>0</v>
      </c>
      <c r="G47" s="260">
        <f t="shared" si="10"/>
        <v>0</v>
      </c>
      <c r="H47" s="260">
        <f t="shared" si="10"/>
        <v>0</v>
      </c>
      <c r="I47" s="260">
        <f t="shared" si="10"/>
        <v>0</v>
      </c>
      <c r="J47" s="260">
        <f t="shared" si="10"/>
        <v>0</v>
      </c>
      <c r="K47" s="260">
        <f t="shared" si="10"/>
        <v>1494</v>
      </c>
    </row>
    <row r="48" spans="1:11" ht="12.75">
      <c r="A48" s="50"/>
      <c r="B48" s="34"/>
      <c r="C48" s="24"/>
      <c r="D48" s="25"/>
      <c r="E48" s="26"/>
      <c r="F48" s="24"/>
      <c r="G48" s="26"/>
      <c r="H48" s="24"/>
      <c r="I48" s="94"/>
      <c r="J48" s="116"/>
      <c r="K48" s="25"/>
    </row>
    <row r="49" spans="1:11" ht="12.75">
      <c r="A49" s="50" t="s">
        <v>171</v>
      </c>
      <c r="B49" t="s">
        <v>12</v>
      </c>
      <c r="C49" s="24">
        <v>2149</v>
      </c>
      <c r="D49" s="25">
        <v>2149</v>
      </c>
      <c r="E49" s="26">
        <v>-6</v>
      </c>
      <c r="F49" s="24">
        <v>0</v>
      </c>
      <c r="G49" s="26">
        <v>0</v>
      </c>
      <c r="H49" s="24">
        <v>0</v>
      </c>
      <c r="I49" s="94">
        <v>0</v>
      </c>
      <c r="J49" s="116">
        <v>0</v>
      </c>
      <c r="K49" s="59">
        <f>SUM(D49:J49)</f>
        <v>2143</v>
      </c>
    </row>
    <row r="50" spans="1:11" s="11" customFormat="1" ht="12.75">
      <c r="A50" s="257"/>
      <c r="B50" s="259" t="s">
        <v>126</v>
      </c>
      <c r="C50" s="260">
        <f>SUM(C49)</f>
        <v>2149</v>
      </c>
      <c r="D50" s="260">
        <f aca="true" t="shared" si="11" ref="D50:K50">SUM(D49)</f>
        <v>2149</v>
      </c>
      <c r="E50" s="260">
        <f t="shared" si="11"/>
        <v>-6</v>
      </c>
      <c r="F50" s="260">
        <f t="shared" si="11"/>
        <v>0</v>
      </c>
      <c r="G50" s="260">
        <f t="shared" si="11"/>
        <v>0</v>
      </c>
      <c r="H50" s="260">
        <f t="shared" si="11"/>
        <v>0</v>
      </c>
      <c r="I50" s="260">
        <f t="shared" si="11"/>
        <v>0</v>
      </c>
      <c r="J50" s="260">
        <f t="shared" si="11"/>
        <v>0</v>
      </c>
      <c r="K50" s="260">
        <f t="shared" si="11"/>
        <v>2143</v>
      </c>
    </row>
    <row r="51" spans="1:11" ht="12.75">
      <c r="A51" s="50"/>
      <c r="B51" s="23"/>
      <c r="C51" s="24"/>
      <c r="D51" s="25"/>
      <c r="E51" s="26"/>
      <c r="F51" s="24"/>
      <c r="G51" s="26"/>
      <c r="H51" s="24"/>
      <c r="I51" s="94"/>
      <c r="J51" s="116"/>
      <c r="K51" s="25"/>
    </row>
    <row r="52" spans="1:11" ht="12.75">
      <c r="A52" s="50" t="s">
        <v>172</v>
      </c>
      <c r="B52" t="s">
        <v>12</v>
      </c>
      <c r="C52" s="24">
        <v>689</v>
      </c>
      <c r="D52" s="25">
        <v>689</v>
      </c>
      <c r="E52" s="26">
        <v>-2</v>
      </c>
      <c r="F52" s="24">
        <v>0</v>
      </c>
      <c r="G52" s="26">
        <v>0</v>
      </c>
      <c r="H52" s="24">
        <v>0</v>
      </c>
      <c r="I52" s="94">
        <v>0</v>
      </c>
      <c r="J52" s="116">
        <v>0</v>
      </c>
      <c r="K52" s="59">
        <f>SUM(D52:J52)</f>
        <v>687</v>
      </c>
    </row>
    <row r="53" spans="1:11" s="11" customFormat="1" ht="12.75">
      <c r="A53" s="257"/>
      <c r="B53" s="259" t="s">
        <v>127</v>
      </c>
      <c r="C53" s="260">
        <f>SUM(C52)</f>
        <v>689</v>
      </c>
      <c r="D53" s="260">
        <f aca="true" t="shared" si="12" ref="D53:K53">SUM(D52)</f>
        <v>689</v>
      </c>
      <c r="E53" s="260">
        <f t="shared" si="12"/>
        <v>-2</v>
      </c>
      <c r="F53" s="260">
        <f t="shared" si="12"/>
        <v>0</v>
      </c>
      <c r="G53" s="260">
        <f t="shared" si="12"/>
        <v>0</v>
      </c>
      <c r="H53" s="260">
        <f t="shared" si="12"/>
        <v>0</v>
      </c>
      <c r="I53" s="260">
        <f t="shared" si="12"/>
        <v>0</v>
      </c>
      <c r="J53" s="260">
        <f t="shared" si="12"/>
        <v>0</v>
      </c>
      <c r="K53" s="260">
        <f t="shared" si="12"/>
        <v>687</v>
      </c>
    </row>
    <row r="54" spans="1:11" s="11" customFormat="1" ht="12.75">
      <c r="A54" s="50"/>
      <c r="C54" s="56"/>
      <c r="D54" s="56"/>
      <c r="E54" s="56"/>
      <c r="F54" s="56"/>
      <c r="G54" s="56"/>
      <c r="H54" s="56"/>
      <c r="I54" s="124"/>
      <c r="J54" s="124"/>
      <c r="K54" s="56"/>
    </row>
    <row r="55" spans="1:11" s="11" customFormat="1" ht="12.75">
      <c r="A55" s="50" t="s">
        <v>205</v>
      </c>
      <c r="B55" s="27" t="s">
        <v>206</v>
      </c>
      <c r="C55" s="24">
        <v>436</v>
      </c>
      <c r="D55" s="25">
        <v>436</v>
      </c>
      <c r="E55" s="26">
        <v>-1</v>
      </c>
      <c r="F55" s="24">
        <v>0</v>
      </c>
      <c r="G55" s="26">
        <v>0</v>
      </c>
      <c r="H55" s="24">
        <v>0</v>
      </c>
      <c r="I55" s="94">
        <v>0</v>
      </c>
      <c r="J55" s="116">
        <v>0</v>
      </c>
      <c r="K55" s="59">
        <f>SUM(D55:J55)</f>
        <v>435</v>
      </c>
    </row>
    <row r="56" spans="1:11" s="11" customFormat="1" ht="12.75">
      <c r="A56" s="257"/>
      <c r="B56" s="259" t="s">
        <v>204</v>
      </c>
      <c r="C56" s="260">
        <f>SUM(C55)</f>
        <v>436</v>
      </c>
      <c r="D56" s="260">
        <f aca="true" t="shared" si="13" ref="D56:K56">SUM(D55)</f>
        <v>436</v>
      </c>
      <c r="E56" s="260">
        <f t="shared" si="13"/>
        <v>-1</v>
      </c>
      <c r="F56" s="260">
        <f t="shared" si="13"/>
        <v>0</v>
      </c>
      <c r="G56" s="260">
        <f t="shared" si="13"/>
        <v>0</v>
      </c>
      <c r="H56" s="260">
        <f t="shared" si="13"/>
        <v>0</v>
      </c>
      <c r="I56" s="260">
        <f t="shared" si="13"/>
        <v>0</v>
      </c>
      <c r="J56" s="260">
        <f t="shared" si="13"/>
        <v>0</v>
      </c>
      <c r="K56" s="260">
        <f t="shared" si="13"/>
        <v>435</v>
      </c>
    </row>
    <row r="57" spans="1:11" s="11" customFormat="1" ht="12.75">
      <c r="A57" s="50"/>
      <c r="C57" s="56"/>
      <c r="D57" s="56"/>
      <c r="E57" s="56"/>
      <c r="F57" s="56"/>
      <c r="G57" s="56"/>
      <c r="H57" s="56"/>
      <c r="I57" s="124"/>
      <c r="J57" s="124"/>
      <c r="K57" s="56"/>
    </row>
    <row r="58" spans="1:11" s="11" customFormat="1" ht="12.75">
      <c r="A58" s="50" t="s">
        <v>179</v>
      </c>
      <c r="B58" s="93" t="s">
        <v>4</v>
      </c>
      <c r="C58" s="116">
        <v>4505</v>
      </c>
      <c r="D58" s="25">
        <v>4505</v>
      </c>
      <c r="E58" s="116">
        <v>-13</v>
      </c>
      <c r="F58" s="116">
        <v>0</v>
      </c>
      <c r="G58" s="26">
        <v>0</v>
      </c>
      <c r="H58" s="116">
        <v>0</v>
      </c>
      <c r="I58" s="94">
        <v>0</v>
      </c>
      <c r="J58" s="116">
        <f>SUM('FY 09-11 DD 1416 Tracker-Total'!AU70)</f>
        <v>0</v>
      </c>
      <c r="K58" s="59">
        <f>SUM(D58:J58)</f>
        <v>4492</v>
      </c>
    </row>
    <row r="59" spans="1:11" s="11" customFormat="1" ht="12.75">
      <c r="A59" s="257"/>
      <c r="B59" s="259" t="s">
        <v>48</v>
      </c>
      <c r="C59" s="260">
        <f aca="true" t="shared" si="14" ref="C59:K59">SUM(C58)</f>
        <v>4505</v>
      </c>
      <c r="D59" s="260">
        <f t="shared" si="14"/>
        <v>4505</v>
      </c>
      <c r="E59" s="260">
        <f t="shared" si="14"/>
        <v>-13</v>
      </c>
      <c r="F59" s="260">
        <f t="shared" si="14"/>
        <v>0</v>
      </c>
      <c r="G59" s="260">
        <f t="shared" si="14"/>
        <v>0</v>
      </c>
      <c r="H59" s="260">
        <f t="shared" si="14"/>
        <v>0</v>
      </c>
      <c r="I59" s="260">
        <f t="shared" si="14"/>
        <v>0</v>
      </c>
      <c r="J59" s="260">
        <f t="shared" si="14"/>
        <v>0</v>
      </c>
      <c r="K59" s="260">
        <f t="shared" si="14"/>
        <v>4492</v>
      </c>
    </row>
    <row r="60" spans="1:11" s="11" customFormat="1" ht="13.5" thickBot="1">
      <c r="A60" s="50"/>
      <c r="C60" s="56"/>
      <c r="D60" s="56"/>
      <c r="E60" s="56"/>
      <c r="F60" s="56"/>
      <c r="G60" s="56"/>
      <c r="H60" s="56"/>
      <c r="I60" s="124"/>
      <c r="J60" s="124"/>
      <c r="K60" s="56"/>
    </row>
    <row r="61" spans="1:11" s="52" customFormat="1" ht="13.5" thickBot="1">
      <c r="A61" s="245"/>
      <c r="B61" s="51" t="s">
        <v>232</v>
      </c>
      <c r="C61" s="38">
        <f>SUM(C9+C13+C26+C29+C32+C35+C38+C41+C44+C47+C50+C53+C56+C59)</f>
        <v>575166</v>
      </c>
      <c r="D61" s="38">
        <f aca="true" t="shared" si="15" ref="D61:K61">SUM(D9+D13+D26+D29+D32+D35+D38+D41+D44+D47+D50+D53+D56+D59)</f>
        <v>551414</v>
      </c>
      <c r="E61" s="38">
        <f t="shared" si="15"/>
        <v>-1625</v>
      </c>
      <c r="F61" s="38">
        <f t="shared" si="15"/>
        <v>0</v>
      </c>
      <c r="G61" s="38">
        <f t="shared" si="15"/>
        <v>0</v>
      </c>
      <c r="H61" s="38">
        <f t="shared" si="15"/>
        <v>0</v>
      </c>
      <c r="I61" s="38">
        <f t="shared" si="15"/>
        <v>659</v>
      </c>
      <c r="J61" s="38">
        <f t="shared" si="15"/>
        <v>-512</v>
      </c>
      <c r="K61" s="38">
        <f t="shared" si="15"/>
        <v>549937</v>
      </c>
    </row>
    <row r="62" spans="1:11" ht="12.75">
      <c r="A62" s="246"/>
      <c r="B62" s="36"/>
      <c r="C62" s="24"/>
      <c r="D62" s="25"/>
      <c r="E62" s="26"/>
      <c r="F62" s="24"/>
      <c r="G62" s="26"/>
      <c r="H62" s="24"/>
      <c r="I62" s="94"/>
      <c r="J62" s="116"/>
      <c r="K62" s="25"/>
    </row>
    <row r="63" spans="1:11" ht="12.75">
      <c r="A63" s="50" t="s">
        <v>174</v>
      </c>
      <c r="B63" s="3" t="s">
        <v>22</v>
      </c>
      <c r="C63" s="24">
        <v>51950</v>
      </c>
      <c r="D63" s="25">
        <v>89350</v>
      </c>
      <c r="E63" s="26">
        <v>-153</v>
      </c>
      <c r="F63" s="24">
        <v>0</v>
      </c>
      <c r="G63" s="26">
        <v>0</v>
      </c>
      <c r="H63" s="24">
        <v>0</v>
      </c>
      <c r="I63" s="94">
        <v>0</v>
      </c>
      <c r="J63" s="116">
        <v>0</v>
      </c>
      <c r="K63" s="59">
        <f>SUM(D63:J63)</f>
        <v>89197</v>
      </c>
    </row>
    <row r="64" spans="1:11" ht="12.75">
      <c r="A64" s="50"/>
      <c r="B64" s="3" t="s">
        <v>132</v>
      </c>
      <c r="C64" s="24">
        <v>63667</v>
      </c>
      <c r="D64" s="25">
        <v>63667</v>
      </c>
      <c r="E64" s="26">
        <v>-188</v>
      </c>
      <c r="F64" s="24">
        <v>0</v>
      </c>
      <c r="G64" s="26">
        <v>0</v>
      </c>
      <c r="H64" s="24">
        <v>0</v>
      </c>
      <c r="I64" s="94">
        <v>0</v>
      </c>
      <c r="J64" s="116">
        <v>0</v>
      </c>
      <c r="K64" s="59">
        <f aca="true" t="shared" si="16" ref="K64:K98">SUM(D64:J64)</f>
        <v>63479</v>
      </c>
    </row>
    <row r="65" spans="1:11" ht="12.75">
      <c r="A65" s="50"/>
      <c r="B65" s="3" t="s">
        <v>23</v>
      </c>
      <c r="C65" s="24">
        <v>98163</v>
      </c>
      <c r="D65" s="25">
        <v>98163</v>
      </c>
      <c r="E65" s="26">
        <v>-400</v>
      </c>
      <c r="F65" s="24">
        <v>0</v>
      </c>
      <c r="G65" s="26">
        <v>0</v>
      </c>
      <c r="H65" s="24">
        <v>0</v>
      </c>
      <c r="I65" s="94">
        <v>0</v>
      </c>
      <c r="J65" s="116">
        <v>0</v>
      </c>
      <c r="K65" s="59">
        <f t="shared" si="16"/>
        <v>97763</v>
      </c>
    </row>
    <row r="66" spans="1:11" ht="12.75">
      <c r="A66" s="50"/>
      <c r="B66" s="3" t="s">
        <v>133</v>
      </c>
      <c r="C66" s="24">
        <v>39172</v>
      </c>
      <c r="D66" s="25">
        <v>39172</v>
      </c>
      <c r="E66" s="26">
        <v>-116</v>
      </c>
      <c r="F66" s="24">
        <v>0</v>
      </c>
      <c r="G66" s="26">
        <v>0</v>
      </c>
      <c r="H66" s="24">
        <v>0</v>
      </c>
      <c r="I66" s="94">
        <v>0</v>
      </c>
      <c r="J66" s="116">
        <v>0</v>
      </c>
      <c r="K66" s="59">
        <f t="shared" si="16"/>
        <v>39056</v>
      </c>
    </row>
    <row r="67" spans="1:11" ht="12.75">
      <c r="A67" s="50"/>
      <c r="B67" s="3" t="s">
        <v>134</v>
      </c>
      <c r="C67" s="24">
        <v>36286</v>
      </c>
      <c r="D67" s="25">
        <v>11286</v>
      </c>
      <c r="E67" s="26">
        <v>-33</v>
      </c>
      <c r="F67" s="24">
        <v>0</v>
      </c>
      <c r="G67" s="26">
        <v>0</v>
      </c>
      <c r="H67" s="24">
        <v>0</v>
      </c>
      <c r="I67" s="94">
        <v>0</v>
      </c>
      <c r="J67" s="116">
        <v>0</v>
      </c>
      <c r="K67" s="59">
        <f t="shared" si="16"/>
        <v>11253</v>
      </c>
    </row>
    <row r="68" spans="1:11" ht="12.75">
      <c r="A68" s="50"/>
      <c r="B68" s="3" t="s">
        <v>219</v>
      </c>
      <c r="C68" s="24">
        <v>7659</v>
      </c>
      <c r="D68" s="25">
        <v>7659</v>
      </c>
      <c r="E68" s="26">
        <v>-23</v>
      </c>
      <c r="F68" s="24">
        <v>0</v>
      </c>
      <c r="G68" s="26">
        <v>0</v>
      </c>
      <c r="H68" s="24">
        <v>0</v>
      </c>
      <c r="I68" s="94">
        <v>0</v>
      </c>
      <c r="J68" s="116">
        <v>0</v>
      </c>
      <c r="K68" s="59">
        <f t="shared" si="16"/>
        <v>7636</v>
      </c>
    </row>
    <row r="69" spans="1:11" ht="12.75">
      <c r="A69" s="50"/>
      <c r="B69" s="3" t="s">
        <v>24</v>
      </c>
      <c r="C69" s="24">
        <v>162971</v>
      </c>
      <c r="D69" s="25">
        <v>162971</v>
      </c>
      <c r="E69" s="26">
        <v>-481</v>
      </c>
      <c r="F69" s="24">
        <v>0</v>
      </c>
      <c r="G69" s="26">
        <v>0</v>
      </c>
      <c r="H69" s="24">
        <v>0</v>
      </c>
      <c r="I69" s="94">
        <v>0</v>
      </c>
      <c r="J69" s="116">
        <v>0</v>
      </c>
      <c r="K69" s="59">
        <f t="shared" si="16"/>
        <v>162490</v>
      </c>
    </row>
    <row r="70" spans="1:11" ht="12.75">
      <c r="A70" s="50"/>
      <c r="B70" s="3" t="s">
        <v>25</v>
      </c>
      <c r="C70" s="24">
        <v>47018</v>
      </c>
      <c r="D70" s="25">
        <v>33277</v>
      </c>
      <c r="E70" s="26">
        <v>-98</v>
      </c>
      <c r="F70" s="24">
        <v>0</v>
      </c>
      <c r="G70" s="26">
        <v>17000</v>
      </c>
      <c r="H70" s="24">
        <v>0</v>
      </c>
      <c r="I70" s="94">
        <v>0</v>
      </c>
      <c r="J70" s="116">
        <v>0</v>
      </c>
      <c r="K70" s="59">
        <f t="shared" si="16"/>
        <v>50179</v>
      </c>
    </row>
    <row r="71" spans="1:11" ht="12.75">
      <c r="A71" s="50"/>
      <c r="B71" s="3" t="s">
        <v>26</v>
      </c>
      <c r="C71" s="24">
        <v>1347</v>
      </c>
      <c r="D71" s="25">
        <v>1347</v>
      </c>
      <c r="E71" s="26">
        <v>-4</v>
      </c>
      <c r="F71" s="24">
        <v>0</v>
      </c>
      <c r="G71" s="26">
        <v>0</v>
      </c>
      <c r="H71" s="24">
        <v>0</v>
      </c>
      <c r="I71" s="94">
        <v>0</v>
      </c>
      <c r="J71" s="116">
        <v>0</v>
      </c>
      <c r="K71" s="59">
        <f t="shared" si="16"/>
        <v>1343</v>
      </c>
    </row>
    <row r="72" spans="1:11" ht="12.75">
      <c r="A72" s="50"/>
      <c r="B72" s="3" t="s">
        <v>27</v>
      </c>
      <c r="C72" s="24">
        <v>5760</v>
      </c>
      <c r="D72" s="25">
        <v>5760</v>
      </c>
      <c r="E72" s="26">
        <v>-17</v>
      </c>
      <c r="F72" s="24">
        <v>0</v>
      </c>
      <c r="G72" s="26">
        <v>0</v>
      </c>
      <c r="H72" s="24">
        <v>0</v>
      </c>
      <c r="I72" s="94">
        <v>0</v>
      </c>
      <c r="J72" s="116">
        <v>0</v>
      </c>
      <c r="K72" s="59">
        <f t="shared" si="16"/>
        <v>5743</v>
      </c>
    </row>
    <row r="73" spans="1:11" ht="12.75">
      <c r="A73" s="50"/>
      <c r="B73" s="3" t="s">
        <v>28</v>
      </c>
      <c r="C73" s="24">
        <v>7061</v>
      </c>
      <c r="D73" s="25">
        <v>7061</v>
      </c>
      <c r="E73" s="26">
        <v>-21</v>
      </c>
      <c r="F73" s="24">
        <v>0</v>
      </c>
      <c r="G73" s="26">
        <v>0</v>
      </c>
      <c r="H73" s="24">
        <v>0</v>
      </c>
      <c r="I73" s="94">
        <v>0</v>
      </c>
      <c r="J73" s="116">
        <v>0</v>
      </c>
      <c r="K73" s="59">
        <f t="shared" si="16"/>
        <v>7040</v>
      </c>
    </row>
    <row r="74" spans="1:11" ht="12.75">
      <c r="A74" s="50"/>
      <c r="B74" s="3" t="s">
        <v>135</v>
      </c>
      <c r="C74" s="24">
        <v>67083</v>
      </c>
      <c r="D74" s="25">
        <v>67083</v>
      </c>
      <c r="E74" s="26">
        <v>-198</v>
      </c>
      <c r="F74" s="24">
        <v>0</v>
      </c>
      <c r="G74" s="26">
        <v>43640</v>
      </c>
      <c r="H74" s="24">
        <v>0</v>
      </c>
      <c r="I74" s="94">
        <v>0</v>
      </c>
      <c r="J74" s="116">
        <v>-7051</v>
      </c>
      <c r="K74" s="59">
        <f t="shared" si="16"/>
        <v>103474</v>
      </c>
    </row>
    <row r="75" spans="1:11" ht="12.75">
      <c r="A75" s="50"/>
      <c r="B75" s="3" t="s">
        <v>136</v>
      </c>
      <c r="C75" s="24">
        <v>5540</v>
      </c>
      <c r="D75" s="25">
        <v>12540</v>
      </c>
      <c r="E75" s="26">
        <v>-37</v>
      </c>
      <c r="F75" s="24">
        <v>0</v>
      </c>
      <c r="G75" s="26">
        <v>0</v>
      </c>
      <c r="H75" s="24">
        <v>0</v>
      </c>
      <c r="I75" s="94">
        <v>0</v>
      </c>
      <c r="J75" s="116">
        <v>7051</v>
      </c>
      <c r="K75" s="59">
        <f t="shared" si="16"/>
        <v>19554</v>
      </c>
    </row>
    <row r="76" spans="1:11" ht="12.75">
      <c r="A76" s="50"/>
      <c r="B76" s="3" t="s">
        <v>137</v>
      </c>
      <c r="C76" s="24">
        <v>67220</v>
      </c>
      <c r="D76" s="25">
        <v>73220</v>
      </c>
      <c r="E76" s="26">
        <v>-216</v>
      </c>
      <c r="F76" s="24">
        <v>0</v>
      </c>
      <c r="G76" s="26">
        <v>0</v>
      </c>
      <c r="H76" s="24">
        <v>0</v>
      </c>
      <c r="I76" s="94">
        <v>0</v>
      </c>
      <c r="J76" s="116">
        <v>0</v>
      </c>
      <c r="K76" s="59">
        <f t="shared" si="16"/>
        <v>73004</v>
      </c>
    </row>
    <row r="77" spans="1:11" ht="12.75">
      <c r="A77" s="50"/>
      <c r="B77" s="3" t="s">
        <v>29</v>
      </c>
      <c r="C77" s="24">
        <v>54122</v>
      </c>
      <c r="D77" s="25">
        <v>56122</v>
      </c>
      <c r="E77" s="26">
        <v>-165</v>
      </c>
      <c r="F77" s="24">
        <v>0</v>
      </c>
      <c r="G77" s="26">
        <v>0</v>
      </c>
      <c r="H77" s="24">
        <v>0</v>
      </c>
      <c r="I77" s="94">
        <v>0</v>
      </c>
      <c r="J77" s="116">
        <v>0</v>
      </c>
      <c r="K77" s="59">
        <f t="shared" si="16"/>
        <v>55957</v>
      </c>
    </row>
    <row r="78" spans="1:11" ht="12.75">
      <c r="A78" s="50"/>
      <c r="B78" s="3" t="s">
        <v>31</v>
      </c>
      <c r="C78" s="24">
        <v>15689</v>
      </c>
      <c r="D78" s="25">
        <v>23489</v>
      </c>
      <c r="E78" s="26">
        <v>-69</v>
      </c>
      <c r="F78" s="24">
        <v>0</v>
      </c>
      <c r="G78" s="26">
        <v>16250</v>
      </c>
      <c r="H78" s="24">
        <v>0</v>
      </c>
      <c r="I78" s="94">
        <v>0</v>
      </c>
      <c r="J78" s="116">
        <v>0</v>
      </c>
      <c r="K78" s="59">
        <f t="shared" si="16"/>
        <v>39670</v>
      </c>
    </row>
    <row r="79" spans="1:11" ht="12.75">
      <c r="A79" s="50"/>
      <c r="B79" s="3" t="s">
        <v>32</v>
      </c>
      <c r="C79" s="24">
        <v>1265</v>
      </c>
      <c r="D79" s="25">
        <v>1265</v>
      </c>
      <c r="E79" s="26">
        <v>-4</v>
      </c>
      <c r="F79" s="24">
        <v>0</v>
      </c>
      <c r="G79" s="26">
        <v>0</v>
      </c>
      <c r="H79" s="24">
        <v>0</v>
      </c>
      <c r="I79" s="94">
        <v>0</v>
      </c>
      <c r="J79" s="116">
        <v>0</v>
      </c>
      <c r="K79" s="59">
        <f t="shared" si="16"/>
        <v>1261</v>
      </c>
    </row>
    <row r="80" spans="1:11" ht="12.75">
      <c r="A80" s="50"/>
      <c r="B80" s="3" t="s">
        <v>138</v>
      </c>
      <c r="C80" s="24">
        <v>12484</v>
      </c>
      <c r="D80" s="25">
        <v>12484</v>
      </c>
      <c r="E80" s="26">
        <v>-37</v>
      </c>
      <c r="F80" s="24">
        <v>0</v>
      </c>
      <c r="G80" s="26">
        <v>0</v>
      </c>
      <c r="H80" s="24">
        <v>0</v>
      </c>
      <c r="I80" s="94">
        <v>0</v>
      </c>
      <c r="J80" s="116">
        <v>0</v>
      </c>
      <c r="K80" s="59">
        <f t="shared" si="16"/>
        <v>12447</v>
      </c>
    </row>
    <row r="81" spans="1:11" ht="12.75">
      <c r="A81" s="50"/>
      <c r="B81" s="3" t="s">
        <v>33</v>
      </c>
      <c r="C81" s="24">
        <v>18795</v>
      </c>
      <c r="D81" s="25">
        <v>21675</v>
      </c>
      <c r="E81" s="26">
        <v>-64</v>
      </c>
      <c r="F81" s="24">
        <v>0</v>
      </c>
      <c r="G81" s="26">
        <v>0</v>
      </c>
      <c r="H81" s="24">
        <v>0</v>
      </c>
      <c r="I81" s="94">
        <v>0</v>
      </c>
      <c r="J81" s="116">
        <v>0</v>
      </c>
      <c r="K81" s="59">
        <f t="shared" si="16"/>
        <v>21611</v>
      </c>
    </row>
    <row r="82" spans="1:11" ht="12.75">
      <c r="A82" s="50"/>
      <c r="B82" s="3" t="s">
        <v>34</v>
      </c>
      <c r="C82" s="24">
        <v>3272</v>
      </c>
      <c r="D82" s="25">
        <v>3272</v>
      </c>
      <c r="E82" s="26">
        <v>-10</v>
      </c>
      <c r="F82" s="24">
        <v>0</v>
      </c>
      <c r="G82" s="26">
        <v>0</v>
      </c>
      <c r="H82" s="24">
        <v>0</v>
      </c>
      <c r="I82" s="94">
        <v>0</v>
      </c>
      <c r="J82" s="116">
        <v>0</v>
      </c>
      <c r="K82" s="59">
        <f t="shared" si="16"/>
        <v>3262</v>
      </c>
    </row>
    <row r="83" spans="1:11" ht="12.75">
      <c r="A83" s="50"/>
      <c r="B83" s="3" t="s">
        <v>35</v>
      </c>
      <c r="C83" s="24">
        <v>3702</v>
      </c>
      <c r="D83" s="25">
        <v>3702</v>
      </c>
      <c r="E83" s="26">
        <v>-11</v>
      </c>
      <c r="F83" s="24">
        <v>0</v>
      </c>
      <c r="G83" s="26">
        <v>0</v>
      </c>
      <c r="H83" s="24">
        <v>0</v>
      </c>
      <c r="I83" s="94">
        <v>0</v>
      </c>
      <c r="J83" s="116">
        <v>0</v>
      </c>
      <c r="K83" s="59">
        <f t="shared" si="16"/>
        <v>3691</v>
      </c>
    </row>
    <row r="84" spans="1:11" ht="12.75">
      <c r="A84" s="50"/>
      <c r="B84" s="3" t="s">
        <v>139</v>
      </c>
      <c r="C84" s="24">
        <v>34151</v>
      </c>
      <c r="D84" s="25">
        <v>36151</v>
      </c>
      <c r="E84" s="26">
        <v>-107</v>
      </c>
      <c r="F84" s="24">
        <v>0</v>
      </c>
      <c r="G84" s="26">
        <v>0</v>
      </c>
      <c r="H84" s="24">
        <v>0</v>
      </c>
      <c r="I84" s="94">
        <v>0</v>
      </c>
      <c r="J84" s="116">
        <v>0</v>
      </c>
      <c r="K84" s="59">
        <f t="shared" si="16"/>
        <v>36044</v>
      </c>
    </row>
    <row r="85" spans="1:11" ht="12.75">
      <c r="A85" s="50"/>
      <c r="B85" s="3" t="s">
        <v>140</v>
      </c>
      <c r="C85" s="24">
        <v>21593</v>
      </c>
      <c r="D85" s="25">
        <v>20000</v>
      </c>
      <c r="E85" s="26">
        <v>-59</v>
      </c>
      <c r="F85" s="24">
        <v>0</v>
      </c>
      <c r="G85" s="26">
        <v>0</v>
      </c>
      <c r="H85" s="24">
        <v>0</v>
      </c>
      <c r="I85" s="94">
        <v>0</v>
      </c>
      <c r="J85" s="116">
        <v>0</v>
      </c>
      <c r="K85" s="59">
        <f t="shared" si="16"/>
        <v>19941</v>
      </c>
    </row>
    <row r="86" spans="1:11" ht="12.75">
      <c r="A86" s="50"/>
      <c r="B86" s="3" t="s">
        <v>36</v>
      </c>
      <c r="C86" s="24">
        <v>11722</v>
      </c>
      <c r="D86" s="25">
        <v>11722</v>
      </c>
      <c r="E86" s="26">
        <v>-35</v>
      </c>
      <c r="F86" s="24">
        <v>0</v>
      </c>
      <c r="G86" s="26">
        <v>0</v>
      </c>
      <c r="H86" s="24">
        <v>0</v>
      </c>
      <c r="I86" s="94">
        <v>0</v>
      </c>
      <c r="J86" s="116">
        <v>-2337</v>
      </c>
      <c r="K86" s="59">
        <f t="shared" si="16"/>
        <v>9350</v>
      </c>
    </row>
    <row r="87" spans="1:11" ht="12.75">
      <c r="A87" s="50"/>
      <c r="B87" s="3" t="s">
        <v>37</v>
      </c>
      <c r="C87" s="24">
        <v>27194</v>
      </c>
      <c r="D87" s="25">
        <v>55561</v>
      </c>
      <c r="E87" s="26">
        <v>-164</v>
      </c>
      <c r="F87" s="24">
        <v>0</v>
      </c>
      <c r="G87" s="26">
        <v>0</v>
      </c>
      <c r="H87" s="24">
        <v>0</v>
      </c>
      <c r="I87" s="94">
        <v>0</v>
      </c>
      <c r="J87" s="116">
        <v>0</v>
      </c>
      <c r="K87" s="59">
        <f t="shared" si="16"/>
        <v>55397</v>
      </c>
    </row>
    <row r="88" spans="1:11" ht="12.75">
      <c r="A88" s="50"/>
      <c r="B88" s="3" t="s">
        <v>220</v>
      </c>
      <c r="C88" s="24">
        <v>55248</v>
      </c>
      <c r="D88" s="25">
        <v>55248</v>
      </c>
      <c r="E88" s="26">
        <v>-163</v>
      </c>
      <c r="F88" s="24">
        <v>0</v>
      </c>
      <c r="G88" s="26">
        <v>0</v>
      </c>
      <c r="H88" s="24">
        <v>0</v>
      </c>
      <c r="I88" s="94">
        <v>0</v>
      </c>
      <c r="J88" s="116">
        <v>0</v>
      </c>
      <c r="K88" s="59">
        <f t="shared" si="16"/>
        <v>55085</v>
      </c>
    </row>
    <row r="89" spans="1:11" ht="12.75">
      <c r="A89" s="50"/>
      <c r="B89" s="117" t="s">
        <v>221</v>
      </c>
      <c r="C89" s="24">
        <v>15862</v>
      </c>
      <c r="D89" s="25">
        <v>15862</v>
      </c>
      <c r="E89" s="26">
        <v>-47</v>
      </c>
      <c r="F89" s="24">
        <v>0</v>
      </c>
      <c r="G89" s="26">
        <v>0</v>
      </c>
      <c r="H89" s="24">
        <v>0</v>
      </c>
      <c r="I89" s="94">
        <v>0</v>
      </c>
      <c r="J89" s="116">
        <v>0</v>
      </c>
      <c r="K89" s="59">
        <f>SUM(D89:J89)</f>
        <v>15815</v>
      </c>
    </row>
    <row r="90" spans="1:11" ht="12.75">
      <c r="A90" s="50"/>
      <c r="B90" s="3" t="s">
        <v>223</v>
      </c>
      <c r="C90" s="24">
        <v>25892</v>
      </c>
      <c r="D90" s="25">
        <v>25892</v>
      </c>
      <c r="E90" s="26">
        <v>-76</v>
      </c>
      <c r="F90" s="24">
        <v>0</v>
      </c>
      <c r="G90" s="26">
        <v>0</v>
      </c>
      <c r="H90" s="24">
        <v>0</v>
      </c>
      <c r="I90" s="94">
        <v>0</v>
      </c>
      <c r="J90" s="116">
        <v>0</v>
      </c>
      <c r="K90" s="59">
        <f>SUM(D90:J90)</f>
        <v>25816</v>
      </c>
    </row>
    <row r="91" spans="1:11" ht="12.75">
      <c r="A91" s="50"/>
      <c r="B91" s="117" t="s">
        <v>222</v>
      </c>
      <c r="C91" s="24">
        <v>15455</v>
      </c>
      <c r="D91" s="25">
        <v>19455</v>
      </c>
      <c r="E91" s="26">
        <v>-57</v>
      </c>
      <c r="F91" s="24">
        <v>0</v>
      </c>
      <c r="G91" s="26">
        <v>0</v>
      </c>
      <c r="H91" s="24">
        <v>0</v>
      </c>
      <c r="I91" s="94">
        <v>0</v>
      </c>
      <c r="J91" s="116">
        <v>0</v>
      </c>
      <c r="K91" s="59">
        <f>SUM(D91:J91)</f>
        <v>19398</v>
      </c>
    </row>
    <row r="92" spans="1:11" ht="12.75">
      <c r="A92" s="50"/>
      <c r="B92" s="117" t="s">
        <v>224</v>
      </c>
      <c r="C92" s="24">
        <v>30201</v>
      </c>
      <c r="D92" s="25">
        <v>25351</v>
      </c>
      <c r="E92" s="26">
        <v>-75</v>
      </c>
      <c r="F92" s="24">
        <v>0</v>
      </c>
      <c r="G92" s="26">
        <v>0</v>
      </c>
      <c r="H92" s="24">
        <v>0</v>
      </c>
      <c r="I92" s="94">
        <v>0</v>
      </c>
      <c r="J92" s="116">
        <v>-94</v>
      </c>
      <c r="K92" s="59">
        <f>SUM(D92:J92)</f>
        <v>25182</v>
      </c>
    </row>
    <row r="93" spans="1:11" ht="12.75">
      <c r="A93" s="50"/>
      <c r="B93" s="117" t="s">
        <v>225</v>
      </c>
      <c r="C93" s="24">
        <v>33966</v>
      </c>
      <c r="D93" s="25">
        <v>23566</v>
      </c>
      <c r="E93" s="26">
        <v>-69</v>
      </c>
      <c r="F93" s="24">
        <v>0</v>
      </c>
      <c r="G93" s="26">
        <v>0</v>
      </c>
      <c r="H93" s="24">
        <v>0</v>
      </c>
      <c r="I93" s="94">
        <v>0</v>
      </c>
      <c r="J93" s="116">
        <v>0</v>
      </c>
      <c r="K93" s="59">
        <f>SUM(D93:J93)</f>
        <v>23497</v>
      </c>
    </row>
    <row r="94" spans="1:11" ht="12.75">
      <c r="A94" s="50"/>
      <c r="B94" s="117" t="s">
        <v>38</v>
      </c>
      <c r="C94" s="24">
        <v>13450</v>
      </c>
      <c r="D94" s="25">
        <v>13450</v>
      </c>
      <c r="E94" s="26">
        <v>-40</v>
      </c>
      <c r="F94" s="24">
        <v>0</v>
      </c>
      <c r="G94" s="26">
        <v>0</v>
      </c>
      <c r="H94" s="24">
        <v>0</v>
      </c>
      <c r="I94" s="94">
        <v>0</v>
      </c>
      <c r="J94" s="116">
        <v>0</v>
      </c>
      <c r="K94" s="59">
        <f t="shared" si="16"/>
        <v>13410</v>
      </c>
    </row>
    <row r="95" spans="1:11" ht="12.75">
      <c r="A95" s="50"/>
      <c r="B95" s="117" t="s">
        <v>39</v>
      </c>
      <c r="C95" s="24">
        <v>15331</v>
      </c>
      <c r="D95" s="25">
        <v>15331</v>
      </c>
      <c r="E95" s="26">
        <v>-45</v>
      </c>
      <c r="F95" s="24">
        <v>0</v>
      </c>
      <c r="G95" s="26">
        <v>0</v>
      </c>
      <c r="H95" s="24">
        <v>0</v>
      </c>
      <c r="I95" s="94">
        <v>0</v>
      </c>
      <c r="J95" s="116">
        <v>0</v>
      </c>
      <c r="K95" s="59">
        <f t="shared" si="16"/>
        <v>15286</v>
      </c>
    </row>
    <row r="96" spans="1:11" ht="12.75">
      <c r="A96" s="50"/>
      <c r="B96" s="117" t="s">
        <v>198</v>
      </c>
      <c r="C96" s="24">
        <v>315443</v>
      </c>
      <c r="D96" s="25">
        <v>319443</v>
      </c>
      <c r="E96" s="26">
        <v>-941</v>
      </c>
      <c r="F96" s="24">
        <v>0</v>
      </c>
      <c r="G96" s="26">
        <v>33750</v>
      </c>
      <c r="H96" s="24">
        <v>0</v>
      </c>
      <c r="I96" s="94">
        <v>0</v>
      </c>
      <c r="J96" s="116">
        <v>2431</v>
      </c>
      <c r="K96" s="59">
        <f t="shared" si="16"/>
        <v>354683</v>
      </c>
    </row>
    <row r="97" spans="1:11" ht="12.75">
      <c r="A97" s="50"/>
      <c r="B97" s="117" t="s">
        <v>40</v>
      </c>
      <c r="C97" s="24">
        <v>64778</v>
      </c>
      <c r="D97" s="25">
        <v>55778</v>
      </c>
      <c r="E97" s="26">
        <v>-164</v>
      </c>
      <c r="F97" s="24">
        <v>0</v>
      </c>
      <c r="G97" s="26">
        <v>0</v>
      </c>
      <c r="H97" s="24">
        <v>0</v>
      </c>
      <c r="I97" s="94">
        <v>0</v>
      </c>
      <c r="J97" s="116">
        <v>0</v>
      </c>
      <c r="K97" s="59">
        <f t="shared" si="16"/>
        <v>55614</v>
      </c>
    </row>
    <row r="98" spans="1:11" ht="13.5" thickBot="1">
      <c r="A98" s="50"/>
      <c r="B98" s="31" t="s">
        <v>185</v>
      </c>
      <c r="C98" s="24">
        <v>0</v>
      </c>
      <c r="D98" s="25">
        <v>0</v>
      </c>
      <c r="E98" s="26">
        <v>0</v>
      </c>
      <c r="F98" s="24">
        <v>0</v>
      </c>
      <c r="G98" s="26">
        <v>0</v>
      </c>
      <c r="H98" s="24">
        <v>0</v>
      </c>
      <c r="I98" s="94">
        <v>2407</v>
      </c>
      <c r="J98" s="116">
        <v>0</v>
      </c>
      <c r="K98" s="59">
        <f t="shared" si="16"/>
        <v>2407</v>
      </c>
    </row>
    <row r="99" spans="1:14" s="11" customFormat="1" ht="13.5" thickBot="1">
      <c r="A99" s="247"/>
      <c r="B99" s="37" t="s">
        <v>233</v>
      </c>
      <c r="C99" s="38">
        <f aca="true" t="shared" si="17" ref="C99:K99">SUM(C63:C98)</f>
        <v>1450512</v>
      </c>
      <c r="D99" s="38">
        <f t="shared" si="17"/>
        <v>1487375</v>
      </c>
      <c r="E99" s="38">
        <f t="shared" si="17"/>
        <v>-4387</v>
      </c>
      <c r="F99" s="38">
        <f t="shared" si="17"/>
        <v>0</v>
      </c>
      <c r="G99" s="38">
        <f t="shared" si="17"/>
        <v>110640</v>
      </c>
      <c r="H99" s="38">
        <f t="shared" si="17"/>
        <v>0</v>
      </c>
      <c r="I99" s="38">
        <f t="shared" si="17"/>
        <v>2407</v>
      </c>
      <c r="J99" s="38">
        <f t="shared" si="17"/>
        <v>0</v>
      </c>
      <c r="K99" s="38">
        <f t="shared" si="17"/>
        <v>1596035</v>
      </c>
      <c r="N99" s="10"/>
    </row>
    <row r="100" spans="1:11" ht="12.75">
      <c r="A100" s="49"/>
      <c r="B100" s="40"/>
      <c r="C100" s="24"/>
      <c r="D100" s="25"/>
      <c r="E100" s="26"/>
      <c r="F100" s="24"/>
      <c r="G100" s="26"/>
      <c r="H100" s="24"/>
      <c r="I100" s="94"/>
      <c r="J100" s="116"/>
      <c r="K100" s="25"/>
    </row>
    <row r="101" spans="1:11" ht="12.75">
      <c r="A101" s="49" t="s">
        <v>173</v>
      </c>
      <c r="B101" s="3" t="s">
        <v>42</v>
      </c>
      <c r="C101" s="24">
        <v>88565</v>
      </c>
      <c r="D101" s="25">
        <v>88565</v>
      </c>
      <c r="E101" s="26">
        <v>-261</v>
      </c>
      <c r="F101" s="24">
        <v>0</v>
      </c>
      <c r="G101" s="24">
        <v>0</v>
      </c>
      <c r="H101" s="24">
        <v>0</v>
      </c>
      <c r="I101" s="24">
        <v>0</v>
      </c>
      <c r="J101" s="116">
        <f>SUM('FY 09-11 DD 1416 Tracker-Total'!AU139)</f>
        <v>99</v>
      </c>
      <c r="K101" s="25">
        <f aca="true" t="shared" si="18" ref="K101:K106">SUM(D101:J101)</f>
        <v>88403</v>
      </c>
    </row>
    <row r="102" spans="1:11" ht="12.75">
      <c r="A102" s="49"/>
      <c r="B102" s="3" t="s">
        <v>43</v>
      </c>
      <c r="C102" s="24">
        <v>80211</v>
      </c>
      <c r="D102" s="25">
        <v>80211</v>
      </c>
      <c r="E102" s="26">
        <v>-237</v>
      </c>
      <c r="F102" s="24">
        <v>0</v>
      </c>
      <c r="G102" s="24">
        <v>0</v>
      </c>
      <c r="H102" s="24">
        <v>0</v>
      </c>
      <c r="I102" s="24">
        <v>0</v>
      </c>
      <c r="J102" s="116">
        <f>SUM('FY 09-11 DD 1416 Tracker-Total'!AU140)</f>
        <v>-99</v>
      </c>
      <c r="K102" s="25">
        <f t="shared" si="18"/>
        <v>79875</v>
      </c>
    </row>
    <row r="103" spans="1:11" ht="12.75">
      <c r="A103" s="49"/>
      <c r="B103" s="3" t="s">
        <v>44</v>
      </c>
      <c r="C103" s="24">
        <v>22299</v>
      </c>
      <c r="D103" s="25">
        <v>25579</v>
      </c>
      <c r="E103" s="26">
        <v>-75</v>
      </c>
      <c r="F103" s="24">
        <v>0</v>
      </c>
      <c r="G103" s="24">
        <v>0</v>
      </c>
      <c r="H103" s="24">
        <v>0</v>
      </c>
      <c r="I103" s="24">
        <v>0</v>
      </c>
      <c r="J103" s="116">
        <f>SUM('FY 09-11 DD 1416 Tracker-Total'!AU141)</f>
        <v>-5100</v>
      </c>
      <c r="K103" s="25">
        <f t="shared" si="18"/>
        <v>20404</v>
      </c>
    </row>
    <row r="104" spans="1:11" ht="12.75">
      <c r="A104" s="49"/>
      <c r="B104" s="3" t="s">
        <v>45</v>
      </c>
      <c r="C104" s="24">
        <v>38702</v>
      </c>
      <c r="D104" s="25">
        <v>38702</v>
      </c>
      <c r="E104" s="26">
        <v>-114</v>
      </c>
      <c r="F104" s="24">
        <v>0</v>
      </c>
      <c r="G104" s="24">
        <v>0</v>
      </c>
      <c r="H104" s="24">
        <v>0</v>
      </c>
      <c r="I104" s="24">
        <v>0</v>
      </c>
      <c r="J104" s="116">
        <f>SUM('FY 09-11 DD 1416 Tracker-Total'!AU142)</f>
        <v>0</v>
      </c>
      <c r="K104" s="25">
        <f t="shared" si="18"/>
        <v>38588</v>
      </c>
    </row>
    <row r="105" spans="1:11" ht="12.75">
      <c r="A105" s="49"/>
      <c r="B105" s="3" t="s">
        <v>199</v>
      </c>
      <c r="C105" s="24">
        <v>37784</v>
      </c>
      <c r="D105" s="25">
        <v>37784</v>
      </c>
      <c r="E105" s="26">
        <v>-111</v>
      </c>
      <c r="F105" s="24">
        <v>0</v>
      </c>
      <c r="G105" s="24">
        <v>0</v>
      </c>
      <c r="H105" s="24">
        <v>0</v>
      </c>
      <c r="I105" s="24">
        <v>0</v>
      </c>
      <c r="J105" s="116">
        <f>SUM('FY 09-11 DD 1416 Tracker-Total'!AU143)</f>
        <v>0</v>
      </c>
      <c r="K105" s="25">
        <f t="shared" si="18"/>
        <v>37673</v>
      </c>
    </row>
    <row r="106" spans="1:11" ht="13.5" thickBot="1">
      <c r="A106" s="49"/>
      <c r="B106" s="3" t="s">
        <v>46</v>
      </c>
      <c r="C106" s="24">
        <v>199610</v>
      </c>
      <c r="D106" s="25">
        <v>186160</v>
      </c>
      <c r="E106" s="26">
        <v>-549</v>
      </c>
      <c r="F106" s="24">
        <v>0</v>
      </c>
      <c r="G106" s="24">
        <v>0</v>
      </c>
      <c r="H106" s="24">
        <v>0</v>
      </c>
      <c r="I106" s="24">
        <v>0</v>
      </c>
      <c r="J106" s="116">
        <f>SUM('FY 09-11 DD 1416 Tracker-Total'!AU144)</f>
        <v>5100</v>
      </c>
      <c r="K106" s="25">
        <f t="shared" si="18"/>
        <v>190711</v>
      </c>
    </row>
    <row r="107" spans="1:11" s="11" customFormat="1" ht="13.5" thickBot="1">
      <c r="A107" s="247"/>
      <c r="B107" s="37" t="s">
        <v>234</v>
      </c>
      <c r="C107" s="38">
        <f>SUM(C101:C106)</f>
        <v>467171</v>
      </c>
      <c r="D107" s="38">
        <f aca="true" t="shared" si="19" ref="D107:K107">SUM(D101:D106)</f>
        <v>457001</v>
      </c>
      <c r="E107" s="38">
        <f t="shared" si="19"/>
        <v>-1347</v>
      </c>
      <c r="F107" s="38">
        <f t="shared" si="19"/>
        <v>0</v>
      </c>
      <c r="G107" s="38">
        <f t="shared" si="19"/>
        <v>0</v>
      </c>
      <c r="H107" s="38">
        <f t="shared" si="19"/>
        <v>0</v>
      </c>
      <c r="I107" s="270">
        <f t="shared" si="19"/>
        <v>0</v>
      </c>
      <c r="J107" s="38">
        <f t="shared" si="19"/>
        <v>0</v>
      </c>
      <c r="K107" s="39">
        <f t="shared" si="19"/>
        <v>455654</v>
      </c>
    </row>
    <row r="108" spans="1:11" ht="12.75">
      <c r="A108" s="41"/>
      <c r="B108" s="42"/>
      <c r="C108" s="24"/>
      <c r="D108" s="29"/>
      <c r="E108" s="31"/>
      <c r="F108" s="33"/>
      <c r="G108" s="31"/>
      <c r="H108" s="33"/>
      <c r="I108" s="93"/>
      <c r="J108" s="123"/>
      <c r="K108" s="25"/>
    </row>
    <row r="109" spans="1:11" ht="12.75">
      <c r="A109" s="41" t="s">
        <v>235</v>
      </c>
      <c r="B109" s="3" t="s">
        <v>226</v>
      </c>
      <c r="C109" s="24">
        <v>0</v>
      </c>
      <c r="D109" s="25">
        <v>57100</v>
      </c>
      <c r="E109" s="26">
        <v>-168</v>
      </c>
      <c r="F109" s="24">
        <v>0</v>
      </c>
      <c r="G109" s="26">
        <v>0</v>
      </c>
      <c r="H109" s="24">
        <v>0</v>
      </c>
      <c r="I109" s="26">
        <v>0</v>
      </c>
      <c r="J109" s="24">
        <v>0</v>
      </c>
      <c r="K109" s="25">
        <f>SUM(D109:J109)</f>
        <v>56932</v>
      </c>
    </row>
    <row r="110" spans="1:11" ht="13.5" thickBot="1">
      <c r="A110" s="41"/>
      <c r="B110" s="3" t="s">
        <v>227</v>
      </c>
      <c r="C110" s="24">
        <v>0</v>
      </c>
      <c r="D110" s="25">
        <v>105000</v>
      </c>
      <c r="E110" s="26">
        <v>-310</v>
      </c>
      <c r="F110" s="24">
        <v>0</v>
      </c>
      <c r="G110" s="26">
        <v>0</v>
      </c>
      <c r="H110" s="269">
        <v>0</v>
      </c>
      <c r="I110" s="26">
        <v>0</v>
      </c>
      <c r="J110" s="269">
        <v>0</v>
      </c>
      <c r="K110" s="25">
        <f>SUM(D110:J110)</f>
        <v>104690</v>
      </c>
    </row>
    <row r="111" spans="1:11" s="11" customFormat="1" ht="13.5" thickBot="1">
      <c r="A111" s="247"/>
      <c r="B111" s="37" t="s">
        <v>236</v>
      </c>
      <c r="C111" s="38">
        <f>SUM(C109:C110)</f>
        <v>0</v>
      </c>
      <c r="D111" s="38">
        <f aca="true" t="shared" si="20" ref="D111:K111">SUM(D109:D110)</f>
        <v>162100</v>
      </c>
      <c r="E111" s="38">
        <f t="shared" si="20"/>
        <v>-478</v>
      </c>
      <c r="F111" s="38">
        <f t="shared" si="20"/>
        <v>0</v>
      </c>
      <c r="G111" s="38">
        <f t="shared" si="20"/>
        <v>0</v>
      </c>
      <c r="H111" s="38">
        <f t="shared" si="20"/>
        <v>0</v>
      </c>
      <c r="I111" s="38">
        <f t="shared" si="20"/>
        <v>0</v>
      </c>
      <c r="J111" s="38">
        <f t="shared" si="20"/>
        <v>0</v>
      </c>
      <c r="K111" s="38">
        <f t="shared" si="20"/>
        <v>161622</v>
      </c>
    </row>
    <row r="112" spans="1:11" ht="12.75">
      <c r="A112" s="41"/>
      <c r="B112" s="42"/>
      <c r="C112" s="24"/>
      <c r="D112" s="29"/>
      <c r="E112" s="31"/>
      <c r="F112" s="24"/>
      <c r="G112" s="31"/>
      <c r="H112" s="33"/>
      <c r="I112" s="93"/>
      <c r="J112" s="123"/>
      <c r="K112" s="25"/>
    </row>
    <row r="113" spans="1:11" ht="13.5" thickBot="1">
      <c r="A113" s="41"/>
      <c r="B113" s="42"/>
      <c r="C113" s="24"/>
      <c r="D113" s="29"/>
      <c r="E113" s="31"/>
      <c r="F113" s="24"/>
      <c r="G113" s="31"/>
      <c r="H113" s="24"/>
      <c r="I113" s="93"/>
      <c r="J113" s="123"/>
      <c r="K113" s="25"/>
    </row>
    <row r="114" spans="1:11" s="256" customFormat="1" ht="13.5" thickBot="1">
      <c r="A114" s="43" t="s">
        <v>47</v>
      </c>
      <c r="B114" s="44" t="s">
        <v>164</v>
      </c>
      <c r="C114" s="38">
        <v>671379</v>
      </c>
      <c r="D114" s="38">
        <v>648379</v>
      </c>
      <c r="E114" s="218">
        <v>-1912</v>
      </c>
      <c r="F114" s="38">
        <v>0</v>
      </c>
      <c r="G114" s="218">
        <v>66597</v>
      </c>
      <c r="H114" s="38">
        <v>0</v>
      </c>
      <c r="I114" s="218">
        <v>0</v>
      </c>
      <c r="J114" s="38">
        <v>0</v>
      </c>
      <c r="K114" s="39">
        <f>SUM(D114:J114)</f>
        <v>713064</v>
      </c>
    </row>
    <row r="115" spans="1:11" s="22" customFormat="1" ht="13.5" thickBot="1">
      <c r="A115" s="224"/>
      <c r="B115" s="225"/>
      <c r="C115" s="116"/>
      <c r="D115" s="59"/>
      <c r="E115" s="94"/>
      <c r="F115" s="116"/>
      <c r="G115" s="94"/>
      <c r="H115" s="116"/>
      <c r="I115" s="94"/>
      <c r="J115" s="116"/>
      <c r="K115" s="96"/>
    </row>
    <row r="116" spans="1:11" s="10" customFormat="1" ht="13.5" thickBot="1">
      <c r="A116" s="43" t="s">
        <v>175</v>
      </c>
      <c r="B116" s="39" t="s">
        <v>59</v>
      </c>
      <c r="C116" s="38">
        <f>SUM(C61+C99+C107+C114)</f>
        <v>3164228</v>
      </c>
      <c r="D116" s="38">
        <f aca="true" t="shared" si="21" ref="D116:J116">SUM(D61+D99+D107+D111+D114)</f>
        <v>3306269</v>
      </c>
      <c r="E116" s="38">
        <f t="shared" si="21"/>
        <v>-9749</v>
      </c>
      <c r="F116" s="38">
        <f t="shared" si="21"/>
        <v>0</v>
      </c>
      <c r="G116" s="38">
        <f t="shared" si="21"/>
        <v>177237</v>
      </c>
      <c r="H116" s="38">
        <f t="shared" si="21"/>
        <v>0</v>
      </c>
      <c r="I116" s="38">
        <f t="shared" si="21"/>
        <v>3066</v>
      </c>
      <c r="J116" s="38">
        <f t="shared" si="21"/>
        <v>-512</v>
      </c>
      <c r="K116" s="38">
        <f>SUM(K61+K99+K107+K111+K114)-1</f>
        <v>3476311</v>
      </c>
    </row>
    <row r="117" ht="12.75">
      <c r="A117" s="50"/>
    </row>
    <row r="118" ht="12.75">
      <c r="A118" s="50"/>
    </row>
    <row r="119" ht="12.75">
      <c r="A119" s="50"/>
    </row>
    <row r="120" ht="13.5" thickBot="1">
      <c r="A120" s="50"/>
    </row>
    <row r="121" spans="1:11" s="11" customFormat="1" ht="13.5" thickBot="1">
      <c r="A121" s="267" t="s">
        <v>68</v>
      </c>
      <c r="B121" s="268"/>
      <c r="C121" s="218">
        <v>3164228</v>
      </c>
      <c r="D121" s="218">
        <v>3306269</v>
      </c>
      <c r="E121" s="218">
        <v>-9749</v>
      </c>
      <c r="F121" s="218">
        <v>0</v>
      </c>
      <c r="G121" s="218">
        <v>177237</v>
      </c>
      <c r="H121" s="218">
        <v>0</v>
      </c>
      <c r="I121" s="218">
        <v>3066</v>
      </c>
      <c r="J121" s="218">
        <f>SUM(J116)</f>
        <v>-512</v>
      </c>
      <c r="K121" s="39">
        <v>3476823</v>
      </c>
    </row>
    <row r="123" spans="1:11" ht="12.75">
      <c r="A123" s="263" t="s">
        <v>189</v>
      </c>
      <c r="B123" s="264"/>
      <c r="C123" s="265">
        <f>SUM(C116-C121)</f>
        <v>0</v>
      </c>
      <c r="D123" s="265">
        <f aca="true" t="shared" si="22" ref="D123:K123">SUM(D116-D121)</f>
        <v>0</v>
      </c>
      <c r="E123" s="265">
        <f t="shared" si="22"/>
        <v>0</v>
      </c>
      <c r="F123" s="265">
        <f t="shared" si="22"/>
        <v>0</v>
      </c>
      <c r="G123" s="265">
        <f t="shared" si="22"/>
        <v>0</v>
      </c>
      <c r="H123" s="265">
        <f t="shared" si="22"/>
        <v>0</v>
      </c>
      <c r="I123" s="265">
        <f t="shared" si="22"/>
        <v>0</v>
      </c>
      <c r="J123" s="265">
        <f t="shared" si="22"/>
        <v>0</v>
      </c>
      <c r="K123" s="266">
        <f t="shared" si="22"/>
        <v>-512</v>
      </c>
    </row>
    <row r="124" ht="12.75">
      <c r="C124" s="16"/>
    </row>
    <row r="125" ht="12.75">
      <c r="A125" s="12" t="s">
        <v>245</v>
      </c>
    </row>
  </sheetData>
  <sheetProtection/>
  <printOptions/>
  <pageMargins left="0.75" right="0.75" top="1" bottom="1" header="0.5" footer="0.5"/>
  <pageSetup fitToHeight="2" fitToWidth="1" horizontalDpi="600" verticalDpi="600" orientation="landscape" scale="52" r:id="rId1"/>
  <headerFooter alignWithMargins="0">
    <oddHeader>&amp;CFY 2009/2011
PROCUREMENT, DEFENSE-WIDE
DD 1416 AS OF 30 DEC 2008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N125"/>
  <sheetViews>
    <sheetView zoomScalePageLayoutView="0" workbookViewId="0" topLeftCell="B1">
      <pane xSplit="1" ySplit="5" topLeftCell="F99" activePane="bottomRight" state="frozen"/>
      <selection pane="topLeft" activeCell="B1" sqref="B1"/>
      <selection pane="topRight" activeCell="C1" sqref="C1"/>
      <selection pane="bottomLeft" activeCell="B6" sqref="B6"/>
      <selection pane="bottomRight" activeCell="H120" sqref="H120"/>
    </sheetView>
  </sheetViews>
  <sheetFormatPr defaultColWidth="9.140625" defaultRowHeight="12.75"/>
  <cols>
    <col min="1" max="1" width="51.140625" style="12" customWidth="1"/>
    <col min="2" max="2" width="56.7109375" style="27" customWidth="1"/>
    <col min="3" max="3" width="12.421875" style="27" customWidth="1"/>
    <col min="4" max="4" width="14.57421875" style="27" customWidth="1"/>
    <col min="5" max="5" width="15.8515625" style="27" customWidth="1"/>
    <col min="6" max="6" width="15.421875" style="27" customWidth="1"/>
    <col min="7" max="7" width="14.8515625" style="27" customWidth="1"/>
    <col min="8" max="8" width="15.421875" style="27" customWidth="1"/>
    <col min="9" max="9" width="14.140625" style="21" customWidth="1"/>
    <col min="10" max="10" width="14.28125" style="21" customWidth="1"/>
    <col min="11" max="11" width="11.57421875" style="16" customWidth="1"/>
    <col min="12" max="12" width="3.7109375" style="27" customWidth="1"/>
    <col min="13" max="13" width="9.140625" style="27" customWidth="1"/>
    <col min="14" max="14" width="9.7109375" style="27" bestFit="1" customWidth="1"/>
    <col min="15" max="16384" width="9.140625" style="27" customWidth="1"/>
  </cols>
  <sheetData>
    <row r="2" spans="4:11" ht="12.75">
      <c r="D2" s="227" t="s">
        <v>237</v>
      </c>
      <c r="H2" s="227" t="s">
        <v>243</v>
      </c>
      <c r="J2" s="249" t="s">
        <v>241</v>
      </c>
      <c r="K2" s="22"/>
    </row>
    <row r="3" spans="4:11" ht="12.75">
      <c r="D3" s="227" t="s">
        <v>238</v>
      </c>
      <c r="E3" s="69" t="s">
        <v>88</v>
      </c>
      <c r="H3" s="227" t="s">
        <v>244</v>
      </c>
      <c r="I3" s="21" t="s">
        <v>95</v>
      </c>
      <c r="J3" s="249" t="s">
        <v>242</v>
      </c>
      <c r="K3" s="22"/>
    </row>
    <row r="4" spans="4:11" ht="13.5" thickBot="1">
      <c r="D4" s="227" t="s">
        <v>239</v>
      </c>
      <c r="E4" s="112" t="s">
        <v>104</v>
      </c>
      <c r="G4" s="227" t="s">
        <v>240</v>
      </c>
      <c r="H4" s="227" t="s">
        <v>78</v>
      </c>
      <c r="I4" s="249" t="s">
        <v>110</v>
      </c>
      <c r="J4" s="249" t="s">
        <v>155</v>
      </c>
      <c r="K4" s="22"/>
    </row>
    <row r="5" spans="1:12" ht="51" customHeight="1" thickBot="1">
      <c r="A5" s="48" t="s">
        <v>165</v>
      </c>
      <c r="B5" s="47" t="s">
        <v>166</v>
      </c>
      <c r="C5" s="53" t="s">
        <v>50</v>
      </c>
      <c r="D5" s="55" t="s">
        <v>51</v>
      </c>
      <c r="E5" s="53" t="s">
        <v>52</v>
      </c>
      <c r="F5" s="54" t="s">
        <v>53</v>
      </c>
      <c r="G5" s="54" t="s">
        <v>54</v>
      </c>
      <c r="H5" s="54" t="s">
        <v>55</v>
      </c>
      <c r="I5" s="54" t="s">
        <v>56</v>
      </c>
      <c r="J5" s="54" t="s">
        <v>57</v>
      </c>
      <c r="K5" s="219" t="s">
        <v>58</v>
      </c>
      <c r="L5" s="28"/>
    </row>
    <row r="6" spans="1:11" ht="12.75">
      <c r="A6" s="244"/>
      <c r="B6" s="29"/>
      <c r="C6" s="30"/>
      <c r="D6" s="29"/>
      <c r="E6" s="31"/>
      <c r="F6" s="30"/>
      <c r="G6" s="31"/>
      <c r="H6" s="30"/>
      <c r="I6" s="93"/>
      <c r="J6" s="122"/>
      <c r="K6" s="25"/>
    </row>
    <row r="7" spans="1:11" ht="12.75">
      <c r="A7" s="50"/>
      <c r="B7" s="32"/>
      <c r="C7" s="33"/>
      <c r="D7" s="29"/>
      <c r="E7" s="31"/>
      <c r="F7" s="33"/>
      <c r="G7" s="31"/>
      <c r="H7" s="33"/>
      <c r="I7" s="93"/>
      <c r="J7" s="123"/>
      <c r="K7" s="25"/>
    </row>
    <row r="8" spans="1:11" ht="12.75">
      <c r="A8" s="50" t="s">
        <v>63</v>
      </c>
      <c r="B8" s="7" t="s">
        <v>12</v>
      </c>
      <c r="C8" s="24">
        <f>SUM('FY 09-11 DD 1416 Tracker-Total'!P14)</f>
        <v>105946</v>
      </c>
      <c r="D8" s="25">
        <f>SUM('FY 09-11 DD 1416 Tracker-Total'!J14)</f>
        <v>105946</v>
      </c>
      <c r="E8" s="26">
        <f>SUM('FY 09-11 DD 1416 Tracker-Total'!M14)</f>
        <v>-312</v>
      </c>
      <c r="F8" s="24"/>
      <c r="G8" s="26">
        <f>SUM('FY 09-11 DD 1416 Tracker-Total'!X14)</f>
        <v>0</v>
      </c>
      <c r="H8" s="24">
        <v>0</v>
      </c>
      <c r="I8" s="94">
        <f>SUM('FY 09-11 DD 1416 Tracker-Total'!AA14:AT14)</f>
        <v>-2300</v>
      </c>
      <c r="J8" s="116">
        <f>SUM('FY 09-11 DD 1416 Tracker-Total'!AU14)</f>
        <v>-512</v>
      </c>
      <c r="K8" s="25">
        <f>SUM(D8:J8)</f>
        <v>102822</v>
      </c>
    </row>
    <row r="9" spans="1:11" s="11" customFormat="1" ht="12.75">
      <c r="A9" s="257"/>
      <c r="B9" s="258" t="s">
        <v>113</v>
      </c>
      <c r="C9" s="251">
        <f aca="true" t="shared" si="0" ref="C9:I9">SUM(C8)</f>
        <v>105946</v>
      </c>
      <c r="D9" s="251">
        <f t="shared" si="0"/>
        <v>105946</v>
      </c>
      <c r="E9" s="251">
        <f t="shared" si="0"/>
        <v>-312</v>
      </c>
      <c r="F9" s="251">
        <f t="shared" si="0"/>
        <v>0</v>
      </c>
      <c r="G9" s="251">
        <f t="shared" si="0"/>
        <v>0</v>
      </c>
      <c r="H9" s="251">
        <f t="shared" si="0"/>
        <v>0</v>
      </c>
      <c r="I9" s="251">
        <f t="shared" si="0"/>
        <v>-2300</v>
      </c>
      <c r="J9" s="251">
        <f>SUM(J8:J8)</f>
        <v>-512</v>
      </c>
      <c r="K9" s="251">
        <f>SUM(K8:K8)</f>
        <v>102822</v>
      </c>
    </row>
    <row r="10" spans="1:11" ht="12.75">
      <c r="A10" s="50"/>
      <c r="B10" s="23"/>
      <c r="C10" s="24"/>
      <c r="D10" s="25"/>
      <c r="E10" s="26"/>
      <c r="F10" s="24"/>
      <c r="G10" s="26"/>
      <c r="H10" s="24"/>
      <c r="I10" s="94"/>
      <c r="J10" s="116"/>
      <c r="K10" s="25"/>
    </row>
    <row r="11" spans="1:11" ht="12.75">
      <c r="A11" s="50" t="s">
        <v>65</v>
      </c>
      <c r="B11" t="s">
        <v>116</v>
      </c>
      <c r="C11" s="24">
        <f>SUM('FY 09-11 DD 1416 Tracker-Total'!P18)</f>
        <v>0</v>
      </c>
      <c r="D11" s="25">
        <f>SUM('FY 09-11 DD 1416 Tracker-Total'!J18)</f>
        <v>0</v>
      </c>
      <c r="E11" s="26">
        <f>SUM('FY 09-11 DD 1416 Tracker-Total'!M18)</f>
        <v>0</v>
      </c>
      <c r="F11" s="24"/>
      <c r="G11" s="26">
        <f>SUM('FY 09-11 DD 1416 Tracker-Total'!X18)</f>
        <v>0</v>
      </c>
      <c r="H11" s="24">
        <v>0</v>
      </c>
      <c r="I11" s="94">
        <f>SUM('FY 09-11 DD 1416 Tracker-Total'!AA17:AT17)</f>
        <v>0</v>
      </c>
      <c r="J11" s="116">
        <f>SUM('FY 09-11 DD 1416 Tracker-Total'!AU18)</f>
        <v>0</v>
      </c>
      <c r="K11" s="59">
        <f>SUM(D11:J11)</f>
        <v>0</v>
      </c>
    </row>
    <row r="12" spans="1:11" ht="12.75">
      <c r="A12" s="50"/>
      <c r="B12" t="s">
        <v>12</v>
      </c>
      <c r="C12" s="24">
        <f>SUM('FY 09-11 DD 1416 Tracker-Total'!P19)</f>
        <v>26649</v>
      </c>
      <c r="D12" s="25">
        <f>SUM('FY 09-11 DD 1416 Tracker-Total'!J19)</f>
        <v>26649</v>
      </c>
      <c r="E12" s="26">
        <f>SUM('FY 09-11 DD 1416 Tracker-Total'!M19)</f>
        <v>-79</v>
      </c>
      <c r="F12" s="24"/>
      <c r="G12" s="26">
        <f>SUM('FY 09-11 DD 1416 Tracker-Total'!X19)</f>
        <v>0</v>
      </c>
      <c r="H12" s="24">
        <v>0</v>
      </c>
      <c r="I12" s="94">
        <f>SUM('FY 09-11 DD 1416 Tracker-Total'!AA18:AT18)</f>
        <v>0</v>
      </c>
      <c r="J12" s="116">
        <f>SUM('FY 09-11 DD 1416 Tracker-Total'!AU19)</f>
        <v>0</v>
      </c>
      <c r="K12" s="59">
        <f>SUM(D12:J12)</f>
        <v>26570</v>
      </c>
    </row>
    <row r="13" spans="1:11" s="11" customFormat="1" ht="12.75">
      <c r="A13" s="257"/>
      <c r="B13" s="259" t="s">
        <v>49</v>
      </c>
      <c r="C13" s="251">
        <f>SUM(C11:C12)</f>
        <v>26649</v>
      </c>
      <c r="D13" s="251">
        <f aca="true" t="shared" si="1" ref="D13:K13">SUM(D11:D12)</f>
        <v>26649</v>
      </c>
      <c r="E13" s="251">
        <f t="shared" si="1"/>
        <v>-79</v>
      </c>
      <c r="F13" s="251">
        <f t="shared" si="1"/>
        <v>0</v>
      </c>
      <c r="G13" s="251">
        <f t="shared" si="1"/>
        <v>0</v>
      </c>
      <c r="H13" s="251">
        <f t="shared" si="1"/>
        <v>0</v>
      </c>
      <c r="I13" s="251">
        <f t="shared" si="1"/>
        <v>0</v>
      </c>
      <c r="J13" s="251">
        <f t="shared" si="1"/>
        <v>0</v>
      </c>
      <c r="K13" s="251">
        <f t="shared" si="1"/>
        <v>26570</v>
      </c>
    </row>
    <row r="14" spans="1:11" ht="12.75">
      <c r="A14" s="50"/>
      <c r="B14" s="23"/>
      <c r="C14" s="24"/>
      <c r="D14" s="25"/>
      <c r="E14" s="26"/>
      <c r="F14" s="24"/>
      <c r="G14" s="26"/>
      <c r="H14" s="24"/>
      <c r="I14" s="94"/>
      <c r="J14" s="116"/>
      <c r="K14" s="25"/>
    </row>
    <row r="15" spans="1:11" ht="12.75">
      <c r="A15" s="50" t="s">
        <v>167</v>
      </c>
      <c r="B15" s="3" t="s">
        <v>6</v>
      </c>
      <c r="C15" s="24">
        <f>SUM('FY 09-11 DD 1416 Tracker-Total'!P22)</f>
        <v>54934</v>
      </c>
      <c r="D15" s="25">
        <f>SUM('FY 09-11 DD 1416 Tracker-Total'!J22)</f>
        <v>48734</v>
      </c>
      <c r="E15" s="26">
        <f>SUM('FY 09-11 DD 1416 Tracker-Total'!M22)</f>
        <v>-144</v>
      </c>
      <c r="F15" s="24"/>
      <c r="G15" s="25">
        <f>SUM('FY 09-11 DD 1416 Tracker-Total'!X22)</f>
        <v>0</v>
      </c>
      <c r="H15" s="24">
        <v>0</v>
      </c>
      <c r="I15" s="94">
        <f>SUM('FY 09-11 DD 1416 Tracker-Total'!AA22:AT22)</f>
        <v>0</v>
      </c>
      <c r="J15" s="24">
        <f>SUM('FY 09-11 DD 1416 Tracker-Total'!AU22)</f>
        <v>-1333</v>
      </c>
      <c r="K15" s="59">
        <f>SUM(D15:J15)</f>
        <v>47257</v>
      </c>
    </row>
    <row r="16" spans="1:11" ht="12.75">
      <c r="A16" s="50"/>
      <c r="B16" s="3" t="s">
        <v>248</v>
      </c>
      <c r="C16" s="24">
        <f>SUM('FY 09-11 DD 1416 Tracker-Total'!P23)</f>
        <v>10973</v>
      </c>
      <c r="D16" s="25">
        <f>SUM('FY 09-11 DD 1416 Tracker-Total'!J23)</f>
        <v>10973</v>
      </c>
      <c r="E16" s="26">
        <f>SUM('FY 09-11 DD 1416 Tracker-Total'!M23)</f>
        <v>-32</v>
      </c>
      <c r="F16" s="24"/>
      <c r="G16" s="25">
        <f>SUM('FY 09-11 DD 1416 Tracker-Total'!X23)</f>
        <v>0</v>
      </c>
      <c r="H16" s="24">
        <v>0</v>
      </c>
      <c r="I16" s="94">
        <f>SUM('FY 09-11 DD 1416 Tracker-Total'!AA23:AT23)</f>
        <v>0</v>
      </c>
      <c r="J16" s="24">
        <f>SUM('FY 09-11 DD 1416 Tracker-Total'!AU23)</f>
        <v>-2151</v>
      </c>
      <c r="K16" s="59">
        <f aca="true" t="shared" si="2" ref="K16:K25">SUM(D16:J16)</f>
        <v>8790</v>
      </c>
    </row>
    <row r="17" spans="1:11" ht="12.75">
      <c r="A17" s="50"/>
      <c r="B17" s="3" t="s">
        <v>7</v>
      </c>
      <c r="C17" s="24">
        <f>SUM('FY 09-11 DD 1416 Tracker-Total'!P24)</f>
        <v>2788</v>
      </c>
      <c r="D17" s="25">
        <f>SUM('FY 09-11 DD 1416 Tracker-Total'!J24)</f>
        <v>2788</v>
      </c>
      <c r="E17" s="26">
        <f>SUM('FY 09-11 DD 1416 Tracker-Total'!M24)</f>
        <v>-8</v>
      </c>
      <c r="F17" s="24"/>
      <c r="G17" s="25">
        <f>SUM('FY 09-11 DD 1416 Tracker-Total'!X24)</f>
        <v>0</v>
      </c>
      <c r="H17" s="24">
        <v>0</v>
      </c>
      <c r="I17" s="94">
        <f>SUM('FY 09-11 DD 1416 Tracker-Total'!AA24:AT24)</f>
        <v>200</v>
      </c>
      <c r="J17" s="24">
        <f>SUM('FY 09-11 DD 1416 Tracker-Total'!AU24)</f>
        <v>-111</v>
      </c>
      <c r="K17" s="59">
        <f t="shared" si="2"/>
        <v>2869</v>
      </c>
    </row>
    <row r="18" spans="1:11" ht="12.75">
      <c r="A18" s="50"/>
      <c r="B18" s="3" t="s">
        <v>8</v>
      </c>
      <c r="C18" s="24">
        <f>SUM('FY 09-11 DD 1416 Tracker-Total'!P25)</f>
        <v>15062</v>
      </c>
      <c r="D18" s="25">
        <f>SUM('FY 09-11 DD 1416 Tracker-Total'!J25)</f>
        <v>15062</v>
      </c>
      <c r="E18" s="26">
        <f>SUM('FY 09-11 DD 1416 Tracker-Total'!M25)</f>
        <v>-44</v>
      </c>
      <c r="F18" s="24"/>
      <c r="G18" s="25">
        <f>SUM('FY 09-11 DD 1416 Tracker-Total'!X25)</f>
        <v>0</v>
      </c>
      <c r="H18" s="24">
        <v>0</v>
      </c>
      <c r="I18" s="94">
        <f>SUM('FY 09-11 DD 1416 Tracker-Total'!AA25:AT25)</f>
        <v>0</v>
      </c>
      <c r="J18" s="24">
        <f>SUM('FY 09-11 DD 1416 Tracker-Total'!AU25)</f>
        <v>566</v>
      </c>
      <c r="K18" s="59">
        <f t="shared" si="2"/>
        <v>15584</v>
      </c>
    </row>
    <row r="19" spans="1:11" ht="12.75">
      <c r="A19" s="50"/>
      <c r="B19" s="3" t="s">
        <v>9</v>
      </c>
      <c r="C19" s="24">
        <f>SUM('FY 09-11 DD 1416 Tracker-Total'!P26)</f>
        <v>121296</v>
      </c>
      <c r="D19" s="25">
        <f>SUM('FY 09-11 DD 1416 Tracker-Total'!J26)</f>
        <v>111296</v>
      </c>
      <c r="E19" s="26">
        <f>SUM('FY 09-11 DD 1416 Tracker-Total'!M26)</f>
        <v>-328</v>
      </c>
      <c r="F19" s="24"/>
      <c r="G19" s="25">
        <f>SUM('FY 09-11 DD 1416 Tracker-Total'!X26)</f>
        <v>0</v>
      </c>
      <c r="H19" s="24">
        <v>0</v>
      </c>
      <c r="I19" s="94">
        <f>SUM('FY 09-11 DD 1416 Tracker-Total'!AA26:AT26)</f>
        <v>0</v>
      </c>
      <c r="J19" s="24">
        <f>SUM('FY 09-11 DD 1416 Tracker-Total'!AU26)</f>
        <v>11807</v>
      </c>
      <c r="K19" s="59">
        <f t="shared" si="2"/>
        <v>122775</v>
      </c>
    </row>
    <row r="20" spans="1:11" ht="12.75">
      <c r="A20" s="50"/>
      <c r="B20" s="3" t="s">
        <v>10</v>
      </c>
      <c r="C20" s="24">
        <f>SUM('FY 09-11 DD 1416 Tracker-Total'!P27)</f>
        <v>36765</v>
      </c>
      <c r="D20" s="25">
        <f>SUM('FY 09-11 DD 1416 Tracker-Total'!J27)</f>
        <v>36765</v>
      </c>
      <c r="E20" s="26">
        <f>SUM('FY 09-11 DD 1416 Tracker-Total'!M27)</f>
        <v>-108</v>
      </c>
      <c r="F20" s="24"/>
      <c r="G20" s="25">
        <f>SUM('FY 09-11 DD 1416 Tracker-Total'!X27)</f>
        <v>0</v>
      </c>
      <c r="H20" s="24">
        <v>0</v>
      </c>
      <c r="I20" s="94">
        <f>SUM('FY 09-11 DD 1416 Tracker-Total'!AA27:AT27)</f>
        <v>0</v>
      </c>
      <c r="J20" s="24">
        <f>SUM('FY 09-11 DD 1416 Tracker-Total'!AU27)</f>
        <v>-7331</v>
      </c>
      <c r="K20" s="59">
        <f t="shared" si="2"/>
        <v>29326</v>
      </c>
    </row>
    <row r="21" spans="1:11" ht="12.75">
      <c r="A21" s="50"/>
      <c r="B21" s="3" t="s">
        <v>197</v>
      </c>
      <c r="C21" s="24">
        <f>SUM('FY 09-11 DD 1416 Tracker-Total'!P28)</f>
        <v>90328</v>
      </c>
      <c r="D21" s="25">
        <f>SUM('FY 09-11 DD 1416 Tracker-Total'!J28)</f>
        <v>90328</v>
      </c>
      <c r="E21" s="26">
        <f>SUM('FY 09-11 DD 1416 Tracker-Total'!M28)</f>
        <v>-266</v>
      </c>
      <c r="F21" s="24"/>
      <c r="G21" s="25">
        <f>SUM('FY 09-11 DD 1416 Tracker-Total'!X28)</f>
        <v>0</v>
      </c>
      <c r="H21" s="24">
        <v>0</v>
      </c>
      <c r="I21" s="94">
        <f>SUM('FY 09-11 DD 1416 Tracker-Total'!AA28:AT28)</f>
        <v>0</v>
      </c>
      <c r="J21" s="24">
        <f>SUM('FY 09-11 DD 1416 Tracker-Total'!AU28)</f>
        <v>-1046</v>
      </c>
      <c r="K21" s="59">
        <f t="shared" si="2"/>
        <v>89016</v>
      </c>
    </row>
    <row r="22" spans="1:11" ht="12.75">
      <c r="A22" s="50"/>
      <c r="B22" s="3" t="s">
        <v>203</v>
      </c>
      <c r="C22" s="24">
        <f>SUM('FY 09-11 DD 1416 Tracker-Total'!P29)</f>
        <v>1894</v>
      </c>
      <c r="D22" s="25">
        <f>SUM('FY 09-11 DD 1416 Tracker-Total'!J29)</f>
        <v>1894</v>
      </c>
      <c r="E22" s="26">
        <f>SUM('FY 09-11 DD 1416 Tracker-Total'!M29)</f>
        <v>-6</v>
      </c>
      <c r="F22" s="24"/>
      <c r="G22" s="25">
        <f>SUM('FY 09-11 DD 1416 Tracker-Total'!X29)</f>
        <v>0</v>
      </c>
      <c r="H22" s="24">
        <v>0</v>
      </c>
      <c r="I22" s="94">
        <f>SUM('FY 09-11 DD 1416 Tracker-Total'!AA29:AT29)</f>
        <v>0</v>
      </c>
      <c r="J22" s="24">
        <f>SUM('FY 09-11 DD 1416 Tracker-Total'!AU29)</f>
        <v>-60</v>
      </c>
      <c r="K22" s="59">
        <f t="shared" si="2"/>
        <v>1828</v>
      </c>
    </row>
    <row r="23" spans="1:11" ht="12.75">
      <c r="A23" s="50"/>
      <c r="B23" s="117" t="s">
        <v>184</v>
      </c>
      <c r="C23" s="24">
        <f>SUM('FY 09-11 DD 1416 Tracker-Total'!P30)</f>
        <v>0</v>
      </c>
      <c r="D23" s="25">
        <f>SUM('FY 09-11 DD 1416 Tracker-Total'!J30)</f>
        <v>0</v>
      </c>
      <c r="E23" s="26">
        <f>SUM('FY 09-11 DD 1416 Tracker-Total'!M30)</f>
        <v>0</v>
      </c>
      <c r="F23" s="24"/>
      <c r="G23" s="25">
        <f>SUM('FY 09-11 DD 1416 Tracker-Total'!X30)</f>
        <v>0</v>
      </c>
      <c r="H23" s="24">
        <v>0</v>
      </c>
      <c r="I23" s="94">
        <f>SUM('FY 09-11 DD 1416 Tracker-Total'!AA30:AT30)</f>
        <v>1316</v>
      </c>
      <c r="J23" s="24">
        <f>SUM('FY 09-11 DD 1416 Tracker-Total'!AU30)</f>
        <v>0</v>
      </c>
      <c r="K23" s="59">
        <f t="shared" si="2"/>
        <v>1316</v>
      </c>
    </row>
    <row r="24" spans="1:11" ht="12.75">
      <c r="A24" s="50"/>
      <c r="B24" s="117" t="s">
        <v>212</v>
      </c>
      <c r="C24" s="24">
        <f>SUM('FY 09-11 DD 1416 Tracker-Total'!P31)</f>
        <v>7952</v>
      </c>
      <c r="D24" s="25">
        <f>SUM('FY 09-11 DD 1416 Tracker-Total'!J31)</f>
        <v>4000</v>
      </c>
      <c r="E24" s="26">
        <f>SUM('FY 09-11 DD 1416 Tracker-Total'!M31)</f>
        <v>-12</v>
      </c>
      <c r="F24" s="24"/>
      <c r="G24" s="25">
        <f>SUM('FY 09-11 DD 1416 Tracker-Total'!X31)</f>
        <v>0</v>
      </c>
      <c r="H24" s="24">
        <v>0</v>
      </c>
      <c r="I24" s="94">
        <f>SUM('FY 09-11 DD 1416 Tracker-Total'!AA31:AT31)</f>
        <v>0</v>
      </c>
      <c r="J24" s="24">
        <f>SUM('FY 09-11 DD 1416 Tracker-Total'!AU31)</f>
        <v>-341</v>
      </c>
      <c r="K24" s="59">
        <f t="shared" si="2"/>
        <v>3647</v>
      </c>
    </row>
    <row r="25" spans="1:11" ht="12.75">
      <c r="A25" s="50"/>
      <c r="B25" s="117" t="s">
        <v>213</v>
      </c>
      <c r="C25" s="24">
        <f>SUM('FY 09-11 DD 1416 Tracker-Total'!P32)</f>
        <v>19100</v>
      </c>
      <c r="D25" s="25">
        <f>SUM('FY 09-11 DD 1416 Tracker-Total'!J32)</f>
        <v>19100</v>
      </c>
      <c r="E25" s="26">
        <f>SUM('FY 09-11 DD 1416 Tracker-Total'!M32)</f>
        <v>-56</v>
      </c>
      <c r="F25" s="24"/>
      <c r="G25" s="25">
        <f>SUM('FY 09-11 DD 1416 Tracker-Total'!X32)</f>
        <v>0</v>
      </c>
      <c r="H25" s="24">
        <v>0</v>
      </c>
      <c r="I25" s="94">
        <f>SUM('FY 09-11 DD 1416 Tracker-Total'!AA32:AT32)</f>
        <v>0</v>
      </c>
      <c r="J25" s="24">
        <f>SUM('FY 09-11 DD 1416 Tracker-Total'!AU32)</f>
        <v>0</v>
      </c>
      <c r="K25" s="59">
        <f t="shared" si="2"/>
        <v>19044</v>
      </c>
    </row>
    <row r="26" spans="1:11" s="11" customFormat="1" ht="12.75">
      <c r="A26" s="257"/>
      <c r="B26" s="259" t="s">
        <v>67</v>
      </c>
      <c r="C26" s="251">
        <f>SUM(C15:C25)</f>
        <v>361092</v>
      </c>
      <c r="D26" s="251">
        <f aca="true" t="shared" si="3" ref="D26:K26">SUM(D15:D25)</f>
        <v>340940</v>
      </c>
      <c r="E26" s="254">
        <f t="shared" si="3"/>
        <v>-1004</v>
      </c>
      <c r="F26" s="251">
        <f t="shared" si="3"/>
        <v>0</v>
      </c>
      <c r="G26" s="255">
        <f t="shared" si="3"/>
        <v>0</v>
      </c>
      <c r="H26" s="251">
        <f t="shared" si="3"/>
        <v>0</v>
      </c>
      <c r="I26" s="251">
        <f t="shared" si="3"/>
        <v>1516</v>
      </c>
      <c r="J26" s="251">
        <f t="shared" si="3"/>
        <v>0</v>
      </c>
      <c r="K26" s="251">
        <f t="shared" si="3"/>
        <v>341452</v>
      </c>
    </row>
    <row r="27" spans="1:11" ht="12.75">
      <c r="A27" s="50"/>
      <c r="B27" s="23"/>
      <c r="C27" s="24"/>
      <c r="D27" s="25"/>
      <c r="E27" s="26"/>
      <c r="F27" s="24"/>
      <c r="G27" s="26"/>
      <c r="H27" s="24"/>
      <c r="I27" s="94"/>
      <c r="J27" s="116"/>
      <c r="K27" s="25"/>
    </row>
    <row r="28" spans="1:11" ht="12.75">
      <c r="A28" s="50" t="s">
        <v>61</v>
      </c>
      <c r="B28" t="s">
        <v>12</v>
      </c>
      <c r="C28" s="24">
        <f>SUM('FY 09-11 DD 1416 Tracker-Total'!P35)</f>
        <v>8789</v>
      </c>
      <c r="D28" s="25">
        <f>SUM('FY 09-11 DD 1416 Tracker-Total'!J35)</f>
        <v>8789</v>
      </c>
      <c r="E28" s="26">
        <f>SUM('FY 09-11 DD 1416 Tracker-Total'!M35)</f>
        <v>-26</v>
      </c>
      <c r="F28" s="24"/>
      <c r="G28" s="26">
        <f>SUM('FY 09-11 DD 1416 Tracker-Total'!X35)</f>
        <v>0</v>
      </c>
      <c r="H28" s="24">
        <v>0</v>
      </c>
      <c r="I28" s="94">
        <f>SUM('FY 09-11 DD 1416 Tracker-Total'!AA35:AT35)</f>
        <v>0</v>
      </c>
      <c r="J28" s="116">
        <f>SUM('FY 09-11 DD 1416 Tracker-Total'!AU35)</f>
        <v>0</v>
      </c>
      <c r="K28" s="59">
        <f>SUM(D28:J28)</f>
        <v>8763</v>
      </c>
    </row>
    <row r="29" spans="1:11" ht="12.75">
      <c r="A29" s="257"/>
      <c r="B29" s="259" t="s">
        <v>117</v>
      </c>
      <c r="C29" s="251">
        <f>SUM(C28)</f>
        <v>8789</v>
      </c>
      <c r="D29" s="251">
        <f aca="true" t="shared" si="4" ref="D29:K29">SUM(D28)</f>
        <v>8789</v>
      </c>
      <c r="E29" s="251">
        <f t="shared" si="4"/>
        <v>-26</v>
      </c>
      <c r="F29" s="251">
        <f t="shared" si="4"/>
        <v>0</v>
      </c>
      <c r="G29" s="251">
        <f t="shared" si="4"/>
        <v>0</v>
      </c>
      <c r="H29" s="251">
        <f t="shared" si="4"/>
        <v>0</v>
      </c>
      <c r="I29" s="251">
        <f t="shared" si="4"/>
        <v>0</v>
      </c>
      <c r="J29" s="251">
        <f t="shared" si="4"/>
        <v>0</v>
      </c>
      <c r="K29" s="251">
        <f t="shared" si="4"/>
        <v>8763</v>
      </c>
    </row>
    <row r="30" spans="1:11" ht="12.75">
      <c r="A30" s="50"/>
      <c r="B30" s="34"/>
      <c r="C30" s="24"/>
      <c r="D30" s="25"/>
      <c r="E30" s="26"/>
      <c r="F30" s="24"/>
      <c r="G30" s="26"/>
      <c r="H30" s="24"/>
      <c r="I30" s="94"/>
      <c r="J30" s="116"/>
      <c r="K30" s="25"/>
    </row>
    <row r="31" spans="1:11" ht="12.75">
      <c r="A31" s="50" t="s">
        <v>60</v>
      </c>
      <c r="B31" t="s">
        <v>118</v>
      </c>
      <c r="C31" s="24">
        <f>SUM('FY 09-11 DD 1416 Tracker-Total'!P38)</f>
        <v>1523</v>
      </c>
      <c r="D31" s="25">
        <f>SUM('FY 09-11 DD 1416 Tracker-Total'!J38)</f>
        <v>3923</v>
      </c>
      <c r="E31" s="26">
        <f>SUM('FY 09-11 DD 1416 Tracker-Total'!M38)</f>
        <v>-12</v>
      </c>
      <c r="F31" s="24"/>
      <c r="G31" s="26">
        <f>SUM('FY 09-11 DD 1416 Tracker-Total'!X38)</f>
        <v>0</v>
      </c>
      <c r="H31" s="24">
        <v>0</v>
      </c>
      <c r="I31" s="94">
        <f>SUM('FY 09-11 DD 1416 Tracker-Total'!AA38:AT38)</f>
        <v>-2400</v>
      </c>
      <c r="J31" s="116">
        <f>SUM('FY 09-11 DD 1416 Tracker-Total'!AU38)</f>
        <v>0</v>
      </c>
      <c r="K31" s="59">
        <f>SUM(D31:J31)</f>
        <v>1511</v>
      </c>
    </row>
    <row r="32" spans="1:11" s="11" customFormat="1" ht="12.75">
      <c r="A32" s="257"/>
      <c r="B32" s="259" t="s">
        <v>119</v>
      </c>
      <c r="C32" s="251">
        <f>SUM(C31)</f>
        <v>1523</v>
      </c>
      <c r="D32" s="251">
        <f aca="true" t="shared" si="5" ref="D32:K32">SUM(D31)</f>
        <v>3923</v>
      </c>
      <c r="E32" s="251">
        <f t="shared" si="5"/>
        <v>-12</v>
      </c>
      <c r="F32" s="251">
        <f t="shared" si="5"/>
        <v>0</v>
      </c>
      <c r="G32" s="251">
        <f t="shared" si="5"/>
        <v>0</v>
      </c>
      <c r="H32" s="251">
        <f t="shared" si="5"/>
        <v>0</v>
      </c>
      <c r="I32" s="251">
        <f t="shared" si="5"/>
        <v>-2400</v>
      </c>
      <c r="J32" s="251">
        <f t="shared" si="5"/>
        <v>0</v>
      </c>
      <c r="K32" s="251">
        <f t="shared" si="5"/>
        <v>1511</v>
      </c>
    </row>
    <row r="33" spans="1:11" ht="12.75">
      <c r="A33" s="50"/>
      <c r="B33" s="34"/>
      <c r="C33" s="24"/>
      <c r="D33" s="25"/>
      <c r="E33" s="26"/>
      <c r="F33" s="24"/>
      <c r="G33" s="26"/>
      <c r="H33" s="24"/>
      <c r="I33" s="94"/>
      <c r="J33" s="116"/>
      <c r="K33" s="25"/>
    </row>
    <row r="34" spans="1:11" ht="12.75">
      <c r="A34" s="50" t="s">
        <v>64</v>
      </c>
      <c r="B34" t="s">
        <v>12</v>
      </c>
      <c r="C34" s="24">
        <f>SUM('FY 09-11 DD 1416 Tracker-Total'!P41)</f>
        <v>25897</v>
      </c>
      <c r="D34" s="25">
        <f>SUM('FY 09-11 DD 1416 Tracker-Total'!J41)</f>
        <v>25897</v>
      </c>
      <c r="E34" s="26">
        <f>SUM('FY 09-11 DD 1416 Tracker-Total'!M41)</f>
        <v>-86</v>
      </c>
      <c r="F34" s="24"/>
      <c r="G34" s="26">
        <f>SUM('FY 09-11 DD 1416 Tracker-Total'!X41)</f>
        <v>0</v>
      </c>
      <c r="H34" s="24">
        <v>0</v>
      </c>
      <c r="I34" s="94">
        <f>SUM('FY 09-11 DD 1416 Tracker-Total'!AA41:AT41)</f>
        <v>-276</v>
      </c>
      <c r="J34" s="116">
        <f>SUM('FY 09-11 DD 1416 Tracker-Total'!AU41)</f>
        <v>0</v>
      </c>
      <c r="K34" s="59">
        <f>SUM(D34:J34)+2</f>
        <v>25537</v>
      </c>
    </row>
    <row r="35" spans="1:11" s="11" customFormat="1" ht="12.75">
      <c r="A35" s="257"/>
      <c r="B35" s="259" t="s">
        <v>121</v>
      </c>
      <c r="C35" s="251">
        <f>SUM(C34)</f>
        <v>25897</v>
      </c>
      <c r="D35" s="251">
        <f aca="true" t="shared" si="6" ref="D35:K35">SUM(D34)</f>
        <v>25897</v>
      </c>
      <c r="E35" s="251">
        <f t="shared" si="6"/>
        <v>-86</v>
      </c>
      <c r="F35" s="251">
        <f t="shared" si="6"/>
        <v>0</v>
      </c>
      <c r="G35" s="251">
        <f t="shared" si="6"/>
        <v>0</v>
      </c>
      <c r="H35" s="251">
        <f t="shared" si="6"/>
        <v>0</v>
      </c>
      <c r="I35" s="251">
        <f t="shared" si="6"/>
        <v>-276</v>
      </c>
      <c r="J35" s="251">
        <f t="shared" si="6"/>
        <v>0</v>
      </c>
      <c r="K35" s="251">
        <f t="shared" si="6"/>
        <v>25537</v>
      </c>
    </row>
    <row r="36" spans="1:11" ht="12.75">
      <c r="A36" s="50"/>
      <c r="B36" s="34"/>
      <c r="C36" s="24"/>
      <c r="D36" s="25"/>
      <c r="E36" s="26"/>
      <c r="F36" s="24"/>
      <c r="G36" s="26"/>
      <c r="H36" s="24"/>
      <c r="I36" s="94"/>
      <c r="J36" s="116"/>
      <c r="K36" s="25"/>
    </row>
    <row r="37" spans="1:11" ht="12.75">
      <c r="A37" s="50" t="s">
        <v>168</v>
      </c>
      <c r="B37" t="s">
        <v>15</v>
      </c>
      <c r="C37" s="24">
        <f>SUM('FY 09-11 DD 1416 Tracker-Total'!P45)</f>
        <v>19214</v>
      </c>
      <c r="D37" s="25">
        <f>SUM('FY 09-11 DD 1416 Tracker-Total'!J45)</f>
        <v>10014</v>
      </c>
      <c r="E37" s="26">
        <f>SUM('FY 09-11 DD 1416 Tracker-Total'!M45)</f>
        <v>-30</v>
      </c>
      <c r="F37" s="24"/>
      <c r="G37" s="26">
        <f>SUM('FY 09-11 DD 1416 Tracker-Total'!X45)</f>
        <v>0</v>
      </c>
      <c r="H37" s="24">
        <v>0</v>
      </c>
      <c r="I37" s="94">
        <f>SUM('FY 09-11 DD 1416 Tracker-Total'!AA45:AT45)</f>
        <v>0</v>
      </c>
      <c r="J37" s="116">
        <f>SUM('FY 09-11 DD 1416 Tracker-Total'!AU45)</f>
        <v>0</v>
      </c>
      <c r="K37" s="59">
        <f>SUM(D37:J37)</f>
        <v>9984</v>
      </c>
    </row>
    <row r="38" spans="1:11" s="11" customFormat="1" ht="12.75">
      <c r="A38" s="257"/>
      <c r="B38" s="259" t="s">
        <v>122</v>
      </c>
      <c r="C38" s="251">
        <f>SUM(C37)</f>
        <v>19214</v>
      </c>
      <c r="D38" s="251">
        <f aca="true" t="shared" si="7" ref="D38:K38">SUM(D37)</f>
        <v>10014</v>
      </c>
      <c r="E38" s="251">
        <f t="shared" si="7"/>
        <v>-30</v>
      </c>
      <c r="F38" s="251">
        <f t="shared" si="7"/>
        <v>0</v>
      </c>
      <c r="G38" s="251">
        <f t="shared" si="7"/>
        <v>0</v>
      </c>
      <c r="H38" s="251">
        <f t="shared" si="7"/>
        <v>0</v>
      </c>
      <c r="I38" s="251">
        <f t="shared" si="7"/>
        <v>0</v>
      </c>
      <c r="J38" s="251">
        <f t="shared" si="7"/>
        <v>0</v>
      </c>
      <c r="K38" s="251">
        <f t="shared" si="7"/>
        <v>9984</v>
      </c>
    </row>
    <row r="39" spans="1:11" ht="12.75">
      <c r="A39" s="50"/>
      <c r="B39" s="35"/>
      <c r="C39" s="24"/>
      <c r="D39" s="25"/>
      <c r="E39" s="26"/>
      <c r="F39" s="24"/>
      <c r="G39" s="26"/>
      <c r="H39" s="24"/>
      <c r="I39" s="94"/>
      <c r="J39" s="116"/>
      <c r="K39" s="25"/>
    </row>
    <row r="40" spans="1:11" ht="12.75">
      <c r="A40" s="50" t="s">
        <v>62</v>
      </c>
      <c r="B40" t="s">
        <v>17</v>
      </c>
      <c r="C40" s="24">
        <f>SUM('FY 09-11 DD 1416 Tracker-Total'!P48)</f>
        <v>5621</v>
      </c>
      <c r="D40" s="25">
        <f>SUM('FY 09-11 DD 1416 Tracker-Total'!J48)</f>
        <v>8821</v>
      </c>
      <c r="E40" s="26">
        <f>SUM('FY 09-11 DD 1416 Tracker-Total'!M48)</f>
        <v>-17</v>
      </c>
      <c r="F40" s="24"/>
      <c r="G40" s="26">
        <f>SUM('FY 09-11 DD 1416 Tracker-Total'!X48)</f>
        <v>0</v>
      </c>
      <c r="H40" s="24">
        <v>0</v>
      </c>
      <c r="I40" s="94">
        <f>SUM('FY 09-11 DD 1416 Tracker-Total'!AA48:AU48)</f>
        <v>0</v>
      </c>
      <c r="J40" s="116">
        <f>SUM('FY 09-11 DD 1416 Tracker-Total'!AU48)</f>
        <v>0</v>
      </c>
      <c r="K40" s="59">
        <f>SUM(D40:J40)-1</f>
        <v>8803</v>
      </c>
    </row>
    <row r="41" spans="1:11" s="11" customFormat="1" ht="12.75">
      <c r="A41" s="257"/>
      <c r="B41" s="259" t="s">
        <v>66</v>
      </c>
      <c r="C41" s="251">
        <f>SUM(C40)</f>
        <v>5621</v>
      </c>
      <c r="D41" s="251">
        <f aca="true" t="shared" si="8" ref="D41:K41">SUM(D40)</f>
        <v>8821</v>
      </c>
      <c r="E41" s="251">
        <f t="shared" si="8"/>
        <v>-17</v>
      </c>
      <c r="F41" s="251">
        <f t="shared" si="8"/>
        <v>0</v>
      </c>
      <c r="G41" s="251">
        <f t="shared" si="8"/>
        <v>0</v>
      </c>
      <c r="H41" s="251">
        <f t="shared" si="8"/>
        <v>0</v>
      </c>
      <c r="I41" s="251">
        <f t="shared" si="8"/>
        <v>0</v>
      </c>
      <c r="J41" s="251">
        <f t="shared" si="8"/>
        <v>0</v>
      </c>
      <c r="K41" s="251">
        <f t="shared" si="8"/>
        <v>8803</v>
      </c>
    </row>
    <row r="42" spans="1:11" ht="12.75">
      <c r="A42" s="50"/>
      <c r="B42" s="23"/>
      <c r="C42" s="24"/>
      <c r="D42" s="25"/>
      <c r="E42" s="26"/>
      <c r="F42" s="24"/>
      <c r="G42" s="26"/>
      <c r="H42" s="24"/>
      <c r="I42" s="94"/>
      <c r="J42" s="116"/>
      <c r="K42" s="25"/>
    </row>
    <row r="43" spans="1:11" ht="12.75">
      <c r="A43" s="50" t="s">
        <v>169</v>
      </c>
      <c r="B43" t="s">
        <v>12</v>
      </c>
      <c r="C43" s="24">
        <f>SUM('FY 09-11 DD 1416 Tracker-Total'!P51)</f>
        <v>11158</v>
      </c>
      <c r="D43" s="25">
        <f>SUM('FY 09-11 DD 1416 Tracker-Total'!J51)</f>
        <v>11158</v>
      </c>
      <c r="E43" s="26">
        <f>SUM('FY 09-11 DD 1416 Tracker-Total'!M51)</f>
        <v>-33</v>
      </c>
      <c r="F43" s="24"/>
      <c r="G43" s="26">
        <f>SUM('FY 09-11 DD 1416 Tracker-Total'!X51)</f>
        <v>0</v>
      </c>
      <c r="H43" s="24">
        <v>0</v>
      </c>
      <c r="I43" s="94">
        <f>SUM('FY 09-11 DD 1416 Tracker-Total'!AA51:AT51)</f>
        <v>0</v>
      </c>
      <c r="J43" s="116">
        <f>SUM('FY 09-11 DD 1416 Tracker-Total'!AU51)</f>
        <v>0</v>
      </c>
      <c r="K43" s="59">
        <f>SUM(D43:J43)</f>
        <v>11125</v>
      </c>
    </row>
    <row r="44" spans="1:11" s="11" customFormat="1" ht="12.75">
      <c r="A44" s="257"/>
      <c r="B44" s="259" t="s">
        <v>123</v>
      </c>
      <c r="C44" s="251">
        <f>SUM(C43)</f>
        <v>11158</v>
      </c>
      <c r="D44" s="251">
        <f aca="true" t="shared" si="9" ref="D44:K44">SUM(D43)</f>
        <v>11158</v>
      </c>
      <c r="E44" s="251">
        <f t="shared" si="9"/>
        <v>-33</v>
      </c>
      <c r="F44" s="251">
        <f t="shared" si="9"/>
        <v>0</v>
      </c>
      <c r="G44" s="251">
        <f t="shared" si="9"/>
        <v>0</v>
      </c>
      <c r="H44" s="251">
        <f t="shared" si="9"/>
        <v>0</v>
      </c>
      <c r="I44" s="251">
        <f t="shared" si="9"/>
        <v>0</v>
      </c>
      <c r="J44" s="251">
        <f t="shared" si="9"/>
        <v>0</v>
      </c>
      <c r="K44" s="251">
        <f t="shared" si="9"/>
        <v>11125</v>
      </c>
    </row>
    <row r="45" spans="1:11" ht="12.75">
      <c r="A45" s="50"/>
      <c r="B45" s="23"/>
      <c r="C45" s="24"/>
      <c r="D45" s="25"/>
      <c r="E45" s="26"/>
      <c r="F45" s="24"/>
      <c r="G45" s="26"/>
      <c r="H45" s="24"/>
      <c r="I45" s="94"/>
      <c r="J45" s="116"/>
      <c r="K45" s="25"/>
    </row>
    <row r="46" spans="1:11" ht="12.75">
      <c r="A46" s="50" t="s">
        <v>170</v>
      </c>
      <c r="B46" t="s">
        <v>124</v>
      </c>
      <c r="C46" s="24">
        <f>SUM('FY 09-11 DD 1416 Tracker-Total'!P54)</f>
        <v>1498</v>
      </c>
      <c r="D46" s="25">
        <f>SUM('FY 09-11 DD 1416 Tracker-Total'!J54)</f>
        <v>1498</v>
      </c>
      <c r="E46" s="26">
        <f>SUM('FY 09-11 DD 1416 Tracker-Total'!M54)</f>
        <v>-4</v>
      </c>
      <c r="F46" s="24"/>
      <c r="G46" s="26">
        <f>SUM('FY 09-11 DD 1416 Tracker-Total'!X54)</f>
        <v>0</v>
      </c>
      <c r="H46" s="24">
        <v>0</v>
      </c>
      <c r="I46" s="94">
        <f>SUM('FY 09-11 DD 1416 Tracker-Total'!AA54:AT54)</f>
        <v>0</v>
      </c>
      <c r="J46" s="116">
        <f>SUM('FY 09-11 DD 1416 Tracker-Total'!AU54)</f>
        <v>0</v>
      </c>
      <c r="K46" s="59">
        <f>SUM(D46:J46)</f>
        <v>1494</v>
      </c>
    </row>
    <row r="47" spans="1:11" s="11" customFormat="1" ht="12.75">
      <c r="A47" s="257"/>
      <c r="B47" s="259" t="s">
        <v>125</v>
      </c>
      <c r="C47" s="251">
        <f>SUM(C46)</f>
        <v>1498</v>
      </c>
      <c r="D47" s="251">
        <f aca="true" t="shared" si="10" ref="D47:K47">SUM(D46)</f>
        <v>1498</v>
      </c>
      <c r="E47" s="251">
        <f t="shared" si="10"/>
        <v>-4</v>
      </c>
      <c r="F47" s="251">
        <f t="shared" si="10"/>
        <v>0</v>
      </c>
      <c r="G47" s="251">
        <f t="shared" si="10"/>
        <v>0</v>
      </c>
      <c r="H47" s="251">
        <f t="shared" si="10"/>
        <v>0</v>
      </c>
      <c r="I47" s="251">
        <f t="shared" si="10"/>
        <v>0</v>
      </c>
      <c r="J47" s="251">
        <f t="shared" si="10"/>
        <v>0</v>
      </c>
      <c r="K47" s="251">
        <f t="shared" si="10"/>
        <v>1494</v>
      </c>
    </row>
    <row r="48" spans="1:11" ht="12.75">
      <c r="A48" s="50"/>
      <c r="B48" s="34"/>
      <c r="C48" s="24"/>
      <c r="D48" s="25"/>
      <c r="E48" s="26"/>
      <c r="F48" s="24"/>
      <c r="G48" s="26"/>
      <c r="H48" s="24"/>
      <c r="I48" s="94"/>
      <c r="J48" s="116"/>
      <c r="K48" s="25"/>
    </row>
    <row r="49" spans="1:11" ht="12.75">
      <c r="A49" s="50" t="s">
        <v>171</v>
      </c>
      <c r="B49" t="s">
        <v>12</v>
      </c>
      <c r="C49" s="24">
        <f>SUM('FY 09-11 DD 1416 Tracker-Total'!P57)</f>
        <v>2149</v>
      </c>
      <c r="D49" s="25">
        <f>SUM('FY 09-11 DD 1416 Tracker-Total'!J57)</f>
        <v>2149</v>
      </c>
      <c r="E49" s="26">
        <f>SUM('FY 09-11 DD 1416 Tracker-Total'!M57)</f>
        <v>-6</v>
      </c>
      <c r="F49" s="24"/>
      <c r="G49" s="26">
        <f>SUM('FY 09-11 DD 1416 Tracker-Total'!X57)</f>
        <v>0</v>
      </c>
      <c r="H49" s="24">
        <v>0</v>
      </c>
      <c r="I49" s="94">
        <f>SUM('FY 09-11 DD 1416 Tracker-Total'!AA57:AT57)</f>
        <v>0</v>
      </c>
      <c r="J49" s="116">
        <f>SUM('FY 09-11 DD 1416 Tracker-Total'!AU57)</f>
        <v>0</v>
      </c>
      <c r="K49" s="59">
        <f>SUM(D49:J49)</f>
        <v>2143</v>
      </c>
    </row>
    <row r="50" spans="1:11" s="11" customFormat="1" ht="12.75">
      <c r="A50" s="257"/>
      <c r="B50" s="259" t="s">
        <v>126</v>
      </c>
      <c r="C50" s="251">
        <f>SUM(C49)</f>
        <v>2149</v>
      </c>
      <c r="D50" s="251">
        <f aca="true" t="shared" si="11" ref="D50:K50">SUM(D49)</f>
        <v>2149</v>
      </c>
      <c r="E50" s="251">
        <f t="shared" si="11"/>
        <v>-6</v>
      </c>
      <c r="F50" s="251">
        <f t="shared" si="11"/>
        <v>0</v>
      </c>
      <c r="G50" s="251">
        <f t="shared" si="11"/>
        <v>0</v>
      </c>
      <c r="H50" s="251">
        <f t="shared" si="11"/>
        <v>0</v>
      </c>
      <c r="I50" s="251">
        <f t="shared" si="11"/>
        <v>0</v>
      </c>
      <c r="J50" s="251">
        <f t="shared" si="11"/>
        <v>0</v>
      </c>
      <c r="K50" s="251">
        <f t="shared" si="11"/>
        <v>2143</v>
      </c>
    </row>
    <row r="51" spans="1:11" ht="12.75">
      <c r="A51" s="50"/>
      <c r="B51" s="23"/>
      <c r="C51" s="24"/>
      <c r="D51" s="25"/>
      <c r="E51" s="26"/>
      <c r="F51" s="24"/>
      <c r="G51" s="26"/>
      <c r="H51" s="24"/>
      <c r="I51" s="94"/>
      <c r="J51" s="116"/>
      <c r="K51" s="25"/>
    </row>
    <row r="52" spans="1:11" ht="12.75">
      <c r="A52" s="50" t="s">
        <v>172</v>
      </c>
      <c r="B52" t="s">
        <v>12</v>
      </c>
      <c r="C52" s="24">
        <f>SUM('FY 09-11 DD 1416 Tracker-Total'!P60)</f>
        <v>689</v>
      </c>
      <c r="D52" s="25">
        <f>SUM('FY 09-11 DD 1416 Tracker-Total'!J60)</f>
        <v>689</v>
      </c>
      <c r="E52" s="26">
        <f>SUM('FY 09-11 DD 1416 Tracker-Total'!M60)</f>
        <v>-2</v>
      </c>
      <c r="F52" s="24"/>
      <c r="G52" s="26">
        <f>SUM('FY 09-11 DD 1416 Tracker-Total'!X60)</f>
        <v>0</v>
      </c>
      <c r="H52" s="24">
        <v>0</v>
      </c>
      <c r="I52" s="94">
        <f>SUM('FY 09-11 DD 1416 Tracker-Total'!AA60:AT60)</f>
        <v>0</v>
      </c>
      <c r="J52" s="116">
        <f>SUM('FY 09-11 DD 1416 Tracker-Total'!AU60)</f>
        <v>0</v>
      </c>
      <c r="K52" s="59">
        <f>SUM(D52:J52)</f>
        <v>687</v>
      </c>
    </row>
    <row r="53" spans="1:11" s="11" customFormat="1" ht="12.75">
      <c r="A53" s="257"/>
      <c r="B53" s="259" t="s">
        <v>127</v>
      </c>
      <c r="C53" s="251">
        <f>SUM(C52)</f>
        <v>689</v>
      </c>
      <c r="D53" s="251">
        <f aca="true" t="shared" si="12" ref="D53:K53">SUM(D52)</f>
        <v>689</v>
      </c>
      <c r="E53" s="251">
        <f t="shared" si="12"/>
        <v>-2</v>
      </c>
      <c r="F53" s="251">
        <f t="shared" si="12"/>
        <v>0</v>
      </c>
      <c r="G53" s="251">
        <f t="shared" si="12"/>
        <v>0</v>
      </c>
      <c r="H53" s="251">
        <f t="shared" si="12"/>
        <v>0</v>
      </c>
      <c r="I53" s="251">
        <f t="shared" si="12"/>
        <v>0</v>
      </c>
      <c r="J53" s="251">
        <f t="shared" si="12"/>
        <v>0</v>
      </c>
      <c r="K53" s="251">
        <f t="shared" si="12"/>
        <v>687</v>
      </c>
    </row>
    <row r="54" spans="1:11" s="11" customFormat="1" ht="12.75">
      <c r="A54" s="50"/>
      <c r="C54" s="56"/>
      <c r="D54" s="56"/>
      <c r="E54" s="56"/>
      <c r="F54" s="56"/>
      <c r="G54" s="56"/>
      <c r="H54" s="56"/>
      <c r="I54" s="124"/>
      <c r="J54" s="124"/>
      <c r="K54" s="56"/>
    </row>
    <row r="55" spans="1:11" s="11" customFormat="1" ht="12.75">
      <c r="A55" s="50" t="s">
        <v>205</v>
      </c>
      <c r="B55" s="27" t="s">
        <v>206</v>
      </c>
      <c r="C55" s="24">
        <f>SUM('FY 09-11 DD 1416 Tracker-Total'!P63)</f>
        <v>436</v>
      </c>
      <c r="D55" s="25">
        <f>SUM('FY 09-11 DD 1416 Tracker-Total'!J63)</f>
        <v>436</v>
      </c>
      <c r="E55" s="26">
        <f>SUM('FY 09-11 DD 1416 Tracker-Total'!M63)</f>
        <v>-1</v>
      </c>
      <c r="F55" s="24"/>
      <c r="G55" s="26">
        <f>SUM('FY 09-11 DD 1416 Tracker-Total'!X63)</f>
        <v>0</v>
      </c>
      <c r="H55" s="24">
        <v>0</v>
      </c>
      <c r="I55" s="94">
        <f>SUM('FY 09-11 DD 1416 Tracker-Total'!AA63:AT63)</f>
        <v>0</v>
      </c>
      <c r="J55" s="116">
        <f>SUM('FY 09-11 DD 1416 Tracker-Total'!AU63)</f>
        <v>0</v>
      </c>
      <c r="K55" s="59">
        <f>SUM(D55:J55)</f>
        <v>435</v>
      </c>
    </row>
    <row r="56" spans="1:11" s="11" customFormat="1" ht="12.75">
      <c r="A56" s="257"/>
      <c r="B56" s="259" t="s">
        <v>204</v>
      </c>
      <c r="C56" s="251">
        <f>SUM(C55)</f>
        <v>436</v>
      </c>
      <c r="D56" s="251">
        <f aca="true" t="shared" si="13" ref="D56:K56">SUM(D55)</f>
        <v>436</v>
      </c>
      <c r="E56" s="251">
        <f t="shared" si="13"/>
        <v>-1</v>
      </c>
      <c r="F56" s="251">
        <f t="shared" si="13"/>
        <v>0</v>
      </c>
      <c r="G56" s="251">
        <f t="shared" si="13"/>
        <v>0</v>
      </c>
      <c r="H56" s="251">
        <f t="shared" si="13"/>
        <v>0</v>
      </c>
      <c r="I56" s="251">
        <f t="shared" si="13"/>
        <v>0</v>
      </c>
      <c r="J56" s="251">
        <f t="shared" si="13"/>
        <v>0</v>
      </c>
      <c r="K56" s="251">
        <f t="shared" si="13"/>
        <v>435</v>
      </c>
    </row>
    <row r="57" spans="1:11" s="11" customFormat="1" ht="12.75">
      <c r="A57" s="50"/>
      <c r="C57" s="56"/>
      <c r="D57" s="56"/>
      <c r="E57" s="56"/>
      <c r="F57" s="56"/>
      <c r="G57" s="56"/>
      <c r="H57" s="56"/>
      <c r="I57" s="124"/>
      <c r="J57" s="124"/>
      <c r="K57" s="56"/>
    </row>
    <row r="58" spans="1:11" s="11" customFormat="1" ht="12.75">
      <c r="A58" s="50" t="s">
        <v>179</v>
      </c>
      <c r="B58" s="93" t="s">
        <v>4</v>
      </c>
      <c r="C58" s="116">
        <f>SUM('FY 09-11 DD 1416 Tracker-Total'!P70)</f>
        <v>4505</v>
      </c>
      <c r="D58" s="25">
        <f>SUM('FY 09-11 DD 1416 Tracker-Total'!J70)</f>
        <v>4505</v>
      </c>
      <c r="E58" s="116">
        <f>SUM('FY 09-11 DD 1416 Tracker-Total'!M70)</f>
        <v>-13</v>
      </c>
      <c r="F58" s="116"/>
      <c r="G58" s="26">
        <f>SUM('FY 09-11 DD 1416 Tracker-Total'!X70)</f>
        <v>0</v>
      </c>
      <c r="H58" s="116">
        <v>0</v>
      </c>
      <c r="I58" s="94">
        <f>SUM('FY 09-11 DD 1416 Tracker-Total'!AA70:AS70)</f>
        <v>0</v>
      </c>
      <c r="J58" s="116">
        <f>SUM('FY 09-11 DD 1416 Tracker-Total'!AU70)</f>
        <v>0</v>
      </c>
      <c r="K58" s="59">
        <f>SUM(D58:J58)</f>
        <v>4492</v>
      </c>
    </row>
    <row r="59" spans="1:11" s="11" customFormat="1" ht="12.75">
      <c r="A59" s="50"/>
      <c r="B59" s="11" t="s">
        <v>48</v>
      </c>
      <c r="C59" s="251">
        <f aca="true" t="shared" si="14" ref="C59:K59">SUM(C58)</f>
        <v>4505</v>
      </c>
      <c r="D59" s="251">
        <f t="shared" si="14"/>
        <v>4505</v>
      </c>
      <c r="E59" s="251">
        <f t="shared" si="14"/>
        <v>-13</v>
      </c>
      <c r="F59" s="251">
        <f t="shared" si="14"/>
        <v>0</v>
      </c>
      <c r="G59" s="251">
        <f t="shared" si="14"/>
        <v>0</v>
      </c>
      <c r="H59" s="251">
        <f t="shared" si="14"/>
        <v>0</v>
      </c>
      <c r="I59" s="251">
        <f t="shared" si="14"/>
        <v>0</v>
      </c>
      <c r="J59" s="251">
        <f t="shared" si="14"/>
        <v>0</v>
      </c>
      <c r="K59" s="251">
        <f t="shared" si="14"/>
        <v>4492</v>
      </c>
    </row>
    <row r="60" spans="1:11" s="11" customFormat="1" ht="13.5" thickBot="1">
      <c r="A60" s="50"/>
      <c r="C60" s="56"/>
      <c r="D60" s="56"/>
      <c r="E60" s="56"/>
      <c r="F60" s="56"/>
      <c r="G60" s="56"/>
      <c r="H60" s="56"/>
      <c r="I60" s="124"/>
      <c r="J60" s="124"/>
      <c r="K60" s="56"/>
    </row>
    <row r="61" spans="1:11" s="52" customFormat="1" ht="13.5" thickBot="1">
      <c r="A61" s="245"/>
      <c r="B61" s="51" t="s">
        <v>232</v>
      </c>
      <c r="C61" s="38">
        <f>SUM(C9+C13+C26+C29+C32+C35+C38+C41+C44+C47+C50+C53+C56+C59)</f>
        <v>575166</v>
      </c>
      <c r="D61" s="38">
        <f aca="true" t="shared" si="15" ref="D61:K61">SUM(D9+D13+D26+D29+D32+D35+D38+D41+D44+D47+D50+D53+D56+D59)</f>
        <v>551414</v>
      </c>
      <c r="E61" s="38">
        <f t="shared" si="15"/>
        <v>-1625</v>
      </c>
      <c r="F61" s="38">
        <f t="shared" si="15"/>
        <v>0</v>
      </c>
      <c r="G61" s="38">
        <f t="shared" si="15"/>
        <v>0</v>
      </c>
      <c r="H61" s="38">
        <f t="shared" si="15"/>
        <v>0</v>
      </c>
      <c r="I61" s="38">
        <f t="shared" si="15"/>
        <v>-3460</v>
      </c>
      <c r="J61" s="38">
        <f t="shared" si="15"/>
        <v>-512</v>
      </c>
      <c r="K61" s="38">
        <f t="shared" si="15"/>
        <v>545818</v>
      </c>
    </row>
    <row r="62" spans="1:11" ht="12.75">
      <c r="A62" s="246"/>
      <c r="B62" s="36"/>
      <c r="C62" s="24"/>
      <c r="D62" s="25"/>
      <c r="E62" s="26"/>
      <c r="F62" s="24"/>
      <c r="G62" s="26"/>
      <c r="H62" s="24"/>
      <c r="I62" s="94"/>
      <c r="J62" s="116"/>
      <c r="K62" s="25"/>
    </row>
    <row r="63" spans="1:13" ht="12.75">
      <c r="A63" s="50" t="s">
        <v>174</v>
      </c>
      <c r="B63" s="3" t="s">
        <v>22</v>
      </c>
      <c r="C63" s="24">
        <f>SUM('FY 09-11 DD 1416 Tracker-Total'!F95)</f>
        <v>51950</v>
      </c>
      <c r="D63" s="25">
        <f>SUM('FY 09-11 DD 1416 Tracker-Total'!J95)</f>
        <v>89350</v>
      </c>
      <c r="E63" s="26">
        <f>SUM('FY 09-11 DD 1416 Tracker-Total'!M95)</f>
        <v>-153</v>
      </c>
      <c r="F63" s="24"/>
      <c r="G63" s="26">
        <f>SUM('FY 09-11 DD 1416 Tracker-Total'!X95)</f>
        <v>0</v>
      </c>
      <c r="H63" s="24">
        <v>0</v>
      </c>
      <c r="I63" s="94">
        <f>SUM('FY 09-11 DD 1416 Tracker-Total'!AA95:AT95)</f>
        <v>0</v>
      </c>
      <c r="J63" s="116">
        <f>SUM('FY 09-11 DD 1416 Tracker-Total'!AU95)</f>
        <v>3644</v>
      </c>
      <c r="K63" s="59">
        <f>SUM(D63:J63)</f>
        <v>92841</v>
      </c>
      <c r="M63" s="27" t="s">
        <v>255</v>
      </c>
    </row>
    <row r="64" spans="1:11" ht="12.75">
      <c r="A64" s="50"/>
      <c r="B64" s="3" t="s">
        <v>132</v>
      </c>
      <c r="C64" s="24">
        <f>SUM('FY 09-11 DD 1416 Tracker-Total'!F96)</f>
        <v>63667</v>
      </c>
      <c r="D64" s="25">
        <f>SUM('FY 09-11 DD 1416 Tracker-Total'!J96)</f>
        <v>63667</v>
      </c>
      <c r="E64" s="26">
        <f>SUM('FY 09-11 DD 1416 Tracker-Total'!M96)</f>
        <v>-188</v>
      </c>
      <c r="F64" s="24"/>
      <c r="G64" s="26">
        <f>SUM('FY 09-11 DD 1416 Tracker-Total'!X96)</f>
        <v>0</v>
      </c>
      <c r="H64" s="24">
        <v>0</v>
      </c>
      <c r="I64" s="94">
        <f>SUM('FY 09-11 DD 1416 Tracker-Total'!AA96:AT96)</f>
        <v>366</v>
      </c>
      <c r="J64" s="116">
        <f>SUM('FY 09-11 DD 1416 Tracker-Total'!AU96)</f>
        <v>11600</v>
      </c>
      <c r="K64" s="59">
        <f aca="true" t="shared" si="16" ref="K64:K98">SUM(D64:J64)</f>
        <v>75445</v>
      </c>
    </row>
    <row r="65" spans="1:11" ht="12.75">
      <c r="A65" s="50"/>
      <c r="B65" s="3" t="s">
        <v>23</v>
      </c>
      <c r="C65" s="24">
        <f>SUM('FY 09-11 DD 1416 Tracker-Total'!F97)</f>
        <v>98163</v>
      </c>
      <c r="D65" s="25">
        <f>SUM('FY 09-11 DD 1416 Tracker-Total'!J97)</f>
        <v>98163</v>
      </c>
      <c r="E65" s="26">
        <f>SUM('FY 09-11 DD 1416 Tracker-Total'!M97)</f>
        <v>-400</v>
      </c>
      <c r="F65" s="24"/>
      <c r="G65" s="26">
        <f>SUM('FY 09-11 DD 1416 Tracker-Total'!X97)</f>
        <v>0</v>
      </c>
      <c r="H65" s="24">
        <v>0</v>
      </c>
      <c r="I65" s="94">
        <f>SUM('FY 09-11 DD 1416 Tracker-Total'!AA97:AT97)</f>
        <v>0</v>
      </c>
      <c r="J65" s="116">
        <f>SUM('FY 09-11 DD 1416 Tracker-Total'!AU97)</f>
        <v>-1800</v>
      </c>
      <c r="K65" s="59">
        <f t="shared" si="16"/>
        <v>95963</v>
      </c>
    </row>
    <row r="66" spans="1:11" ht="12.75">
      <c r="A66" s="50"/>
      <c r="B66" s="3" t="s">
        <v>133</v>
      </c>
      <c r="C66" s="24">
        <f>SUM('FY 09-11 DD 1416 Tracker-Total'!F98)</f>
        <v>39172</v>
      </c>
      <c r="D66" s="25">
        <f>SUM('FY 09-11 DD 1416 Tracker-Total'!J98)</f>
        <v>39172</v>
      </c>
      <c r="E66" s="26">
        <f>SUM('FY 09-11 DD 1416 Tracker-Total'!M98)</f>
        <v>-116</v>
      </c>
      <c r="F66" s="24"/>
      <c r="G66" s="26">
        <f>SUM('FY 09-11 DD 1416 Tracker-Total'!X98)</f>
        <v>0</v>
      </c>
      <c r="H66" s="24">
        <v>0</v>
      </c>
      <c r="I66" s="94">
        <f>SUM('FY 09-11 DD 1416 Tracker-Total'!AA98:AT98)</f>
        <v>0</v>
      </c>
      <c r="J66" s="116">
        <f>SUM('FY 09-11 DD 1416 Tracker-Total'!AU98)</f>
        <v>10740</v>
      </c>
      <c r="K66" s="59">
        <f t="shared" si="16"/>
        <v>49796</v>
      </c>
    </row>
    <row r="67" spans="1:11" ht="12.75">
      <c r="A67" s="50"/>
      <c r="B67" s="3" t="s">
        <v>134</v>
      </c>
      <c r="C67" s="24">
        <f>SUM('FY 09-11 DD 1416 Tracker-Total'!F99)</f>
        <v>36286</v>
      </c>
      <c r="D67" s="25">
        <f>SUM('FY 09-11 DD 1416 Tracker-Total'!J99)</f>
        <v>11286</v>
      </c>
      <c r="E67" s="26">
        <f>SUM('FY 09-11 DD 1416 Tracker-Total'!M99)</f>
        <v>-33</v>
      </c>
      <c r="F67" s="24"/>
      <c r="G67" s="26">
        <f>SUM('FY 09-11 DD 1416 Tracker-Total'!X99)</f>
        <v>0</v>
      </c>
      <c r="H67" s="24">
        <v>0</v>
      </c>
      <c r="I67" s="94">
        <f>SUM('FY 09-11 DD 1416 Tracker-Total'!AA99:AT99)</f>
        <v>0</v>
      </c>
      <c r="J67" s="116">
        <f>SUM('FY 09-11 DD 1416 Tracker-Total'!AU99)</f>
        <v>0</v>
      </c>
      <c r="K67" s="59">
        <f t="shared" si="16"/>
        <v>11253</v>
      </c>
    </row>
    <row r="68" spans="1:11" ht="12.75">
      <c r="A68" s="50"/>
      <c r="B68" s="3" t="s">
        <v>219</v>
      </c>
      <c r="C68" s="24">
        <f>SUM('FY 09-11 DD 1416 Tracker-Total'!F100)</f>
        <v>7659</v>
      </c>
      <c r="D68" s="25">
        <f>SUM('FY 09-11 DD 1416 Tracker-Total'!J100)</f>
        <v>7659</v>
      </c>
      <c r="E68" s="26">
        <f>SUM('FY 09-11 DD 1416 Tracker-Total'!M100)</f>
        <v>-23</v>
      </c>
      <c r="F68" s="24"/>
      <c r="G68" s="26">
        <f>SUM('FY 09-11 DD 1416 Tracker-Total'!X100)</f>
        <v>0</v>
      </c>
      <c r="H68" s="24">
        <v>0</v>
      </c>
      <c r="I68" s="94">
        <f>SUM('FY 09-11 DD 1416 Tracker-Total'!AA100:AT100)</f>
        <v>0</v>
      </c>
      <c r="J68" s="116">
        <f>SUM('FY 09-11 DD 1416 Tracker-Total'!AU100)</f>
        <v>0</v>
      </c>
      <c r="K68" s="59">
        <f t="shared" si="16"/>
        <v>7636</v>
      </c>
    </row>
    <row r="69" spans="1:11" ht="12.75">
      <c r="A69" s="50"/>
      <c r="B69" s="3" t="s">
        <v>24</v>
      </c>
      <c r="C69" s="24">
        <f>SUM('FY 09-11 DD 1416 Tracker-Total'!F101)</f>
        <v>162971</v>
      </c>
      <c r="D69" s="25">
        <f>SUM('FY 09-11 DD 1416 Tracker-Total'!J101)</f>
        <v>162971</v>
      </c>
      <c r="E69" s="26">
        <f>SUM('FY 09-11 DD 1416 Tracker-Total'!M101)</f>
        <v>-481</v>
      </c>
      <c r="F69" s="24"/>
      <c r="G69" s="26">
        <f>SUM('FY 09-11 DD 1416 Tracker-Total'!X101)</f>
        <v>0</v>
      </c>
      <c r="H69" s="24">
        <v>0</v>
      </c>
      <c r="I69" s="94">
        <f>SUM('FY 09-11 DD 1416 Tracker-Total'!AA101:AT101)</f>
        <v>0</v>
      </c>
      <c r="J69" s="116">
        <f>SUM('FY 09-11 DD 1416 Tracker-Total'!AU101)</f>
        <v>-7460</v>
      </c>
      <c r="K69" s="59">
        <f t="shared" si="16"/>
        <v>155030</v>
      </c>
    </row>
    <row r="70" spans="1:11" ht="12.75">
      <c r="A70" s="50"/>
      <c r="B70" s="3" t="s">
        <v>25</v>
      </c>
      <c r="C70" s="24">
        <f>SUM('FY 09-11 DD 1416 Tracker-Total'!F102)</f>
        <v>47018</v>
      </c>
      <c r="D70" s="25">
        <f>SUM('FY 09-11 DD 1416 Tracker-Total'!J102)</f>
        <v>33277</v>
      </c>
      <c r="E70" s="26">
        <f>SUM('FY 09-11 DD 1416 Tracker-Total'!M102)</f>
        <v>-98</v>
      </c>
      <c r="F70" s="24"/>
      <c r="G70" s="26">
        <f>SUM('FY 09-11 DD 1416 Tracker-Total'!X102)</f>
        <v>17000</v>
      </c>
      <c r="H70" s="24">
        <v>0</v>
      </c>
      <c r="I70" s="94">
        <f>SUM('FY 09-11 DD 1416 Tracker-Total'!AA102:AT102)</f>
        <v>141300</v>
      </c>
      <c r="J70" s="116">
        <f>SUM('FY 09-11 DD 1416 Tracker-Total'!AU102)</f>
        <v>-2361</v>
      </c>
      <c r="K70" s="59">
        <f t="shared" si="16"/>
        <v>189118</v>
      </c>
    </row>
    <row r="71" spans="1:11" ht="12.75">
      <c r="A71" s="50"/>
      <c r="B71" s="3" t="s">
        <v>26</v>
      </c>
      <c r="C71" s="24">
        <f>SUM('FY 09-11 DD 1416 Tracker-Total'!F103)</f>
        <v>1347</v>
      </c>
      <c r="D71" s="25">
        <f>SUM('FY 09-11 DD 1416 Tracker-Total'!J103)</f>
        <v>1347</v>
      </c>
      <c r="E71" s="26">
        <f>SUM('FY 09-11 DD 1416 Tracker-Total'!M103)</f>
        <v>-4</v>
      </c>
      <c r="F71" s="24"/>
      <c r="G71" s="26">
        <f>SUM('FY 09-11 DD 1416 Tracker-Total'!X103)</f>
        <v>0</v>
      </c>
      <c r="H71" s="24">
        <v>0</v>
      </c>
      <c r="I71" s="94">
        <f>SUM('FY 09-11 DD 1416 Tracker-Total'!AA103:AT103)</f>
        <v>-515</v>
      </c>
      <c r="J71" s="116">
        <f>SUM('FY 09-11 DD 1416 Tracker-Total'!AU103)</f>
        <v>-268</v>
      </c>
      <c r="K71" s="59">
        <f t="shared" si="16"/>
        <v>560</v>
      </c>
    </row>
    <row r="72" spans="1:11" ht="12.75">
      <c r="A72" s="50"/>
      <c r="B72" s="3" t="s">
        <v>27</v>
      </c>
      <c r="C72" s="24">
        <f>SUM('FY 09-11 DD 1416 Tracker-Total'!F104)</f>
        <v>5760</v>
      </c>
      <c r="D72" s="25">
        <f>SUM('FY 09-11 DD 1416 Tracker-Total'!J104)</f>
        <v>5760</v>
      </c>
      <c r="E72" s="26">
        <f>SUM('FY 09-11 DD 1416 Tracker-Total'!M104)</f>
        <v>-17</v>
      </c>
      <c r="F72" s="24"/>
      <c r="G72" s="26">
        <f>SUM('FY 09-11 DD 1416 Tracker-Total'!X104)</f>
        <v>0</v>
      </c>
      <c r="H72" s="24">
        <v>0</v>
      </c>
      <c r="I72" s="94">
        <f>SUM('FY 09-11 DD 1416 Tracker-Total'!AA104:AT104)</f>
        <v>-5503</v>
      </c>
      <c r="J72" s="116">
        <f>SUM('FY 09-11 DD 1416 Tracker-Total'!AU104)</f>
        <v>-108</v>
      </c>
      <c r="K72" s="59">
        <f t="shared" si="16"/>
        <v>132</v>
      </c>
    </row>
    <row r="73" spans="1:11" ht="12.75">
      <c r="A73" s="50"/>
      <c r="B73" s="3" t="s">
        <v>28</v>
      </c>
      <c r="C73" s="24">
        <f>SUM('FY 09-11 DD 1416 Tracker-Total'!F105)</f>
        <v>7061</v>
      </c>
      <c r="D73" s="25">
        <f>SUM('FY 09-11 DD 1416 Tracker-Total'!J105)</f>
        <v>7061</v>
      </c>
      <c r="E73" s="26">
        <f>SUM('FY 09-11 DD 1416 Tracker-Total'!M105)</f>
        <v>-21</v>
      </c>
      <c r="F73" s="24"/>
      <c r="G73" s="26">
        <f>SUM('FY 09-11 DD 1416 Tracker-Total'!X105)</f>
        <v>0</v>
      </c>
      <c r="H73" s="24">
        <v>0</v>
      </c>
      <c r="I73" s="94">
        <f>SUM('FY 09-11 DD 1416 Tracker-Total'!AA105:AT105)</f>
        <v>303</v>
      </c>
      <c r="J73" s="116">
        <f>SUM('FY 09-11 DD 1416 Tracker-Total'!AU105)</f>
        <v>108</v>
      </c>
      <c r="K73" s="59">
        <f t="shared" si="16"/>
        <v>7451</v>
      </c>
    </row>
    <row r="74" spans="1:11" ht="12.75">
      <c r="A74" s="50"/>
      <c r="B74" s="3" t="s">
        <v>135</v>
      </c>
      <c r="C74" s="24">
        <f>SUM('FY 09-11 DD 1416 Tracker-Total'!F106)</f>
        <v>67083</v>
      </c>
      <c r="D74" s="25">
        <f>SUM('FY 09-11 DD 1416 Tracker-Total'!J106)</f>
        <v>67083</v>
      </c>
      <c r="E74" s="26">
        <f>SUM('FY 09-11 DD 1416 Tracker-Total'!M106)</f>
        <v>-198</v>
      </c>
      <c r="F74" s="24"/>
      <c r="G74" s="26">
        <f>SUM('FY 09-11 DD 1416 Tracker-Total'!X106)</f>
        <v>43640</v>
      </c>
      <c r="H74" s="24">
        <v>0</v>
      </c>
      <c r="I74" s="94">
        <f>SUM('FY 09-11 DD 1416 Tracker-Total'!AA106:AT106)</f>
        <v>0</v>
      </c>
      <c r="J74" s="116">
        <f>SUM('FY 09-11 DD 1416 Tracker-Total'!AU106)</f>
        <v>-5924</v>
      </c>
      <c r="K74" s="59">
        <f t="shared" si="16"/>
        <v>104601</v>
      </c>
    </row>
    <row r="75" spans="1:11" ht="12.75">
      <c r="A75" s="50"/>
      <c r="B75" s="3" t="s">
        <v>136</v>
      </c>
      <c r="C75" s="24">
        <f>SUM('FY 09-11 DD 1416 Tracker-Total'!F107)</f>
        <v>5540</v>
      </c>
      <c r="D75" s="25">
        <f>SUM('FY 09-11 DD 1416 Tracker-Total'!J107)</f>
        <v>12540</v>
      </c>
      <c r="E75" s="26">
        <f>SUM('FY 09-11 DD 1416 Tracker-Total'!M107)</f>
        <v>-37</v>
      </c>
      <c r="F75" s="24"/>
      <c r="G75" s="26">
        <f>SUM('FY 09-11 DD 1416 Tracker-Total'!X107)</f>
        <v>0</v>
      </c>
      <c r="H75" s="24">
        <v>0</v>
      </c>
      <c r="I75" s="94">
        <f>SUM('FY 09-11 DD 1416 Tracker-Total'!AA107:AT107)</f>
        <v>0</v>
      </c>
      <c r="J75" s="116">
        <f>SUM('FY 09-11 DD 1416 Tracker-Total'!AU107)</f>
        <v>7051</v>
      </c>
      <c r="K75" s="59">
        <f t="shared" si="16"/>
        <v>19554</v>
      </c>
    </row>
    <row r="76" spans="1:11" ht="12.75">
      <c r="A76" s="50"/>
      <c r="B76" s="3" t="s">
        <v>137</v>
      </c>
      <c r="C76" s="24">
        <f>SUM('FY 09-11 DD 1416 Tracker-Total'!F108)</f>
        <v>67220</v>
      </c>
      <c r="D76" s="25">
        <f>SUM('FY 09-11 DD 1416 Tracker-Total'!J108)</f>
        <v>73220</v>
      </c>
      <c r="E76" s="26">
        <f>SUM('FY 09-11 DD 1416 Tracker-Total'!M108)</f>
        <v>-216</v>
      </c>
      <c r="F76" s="24"/>
      <c r="G76" s="26">
        <f>SUM('FY 09-11 DD 1416 Tracker-Total'!X108)</f>
        <v>0</v>
      </c>
      <c r="H76" s="24">
        <v>0</v>
      </c>
      <c r="I76" s="94">
        <f>SUM('FY 09-11 DD 1416 Tracker-Total'!AA108:AT108)</f>
        <v>0</v>
      </c>
      <c r="J76" s="116">
        <f>SUM('FY 09-11 DD 1416 Tracker-Total'!AU108)</f>
        <v>7058</v>
      </c>
      <c r="K76" s="59">
        <f t="shared" si="16"/>
        <v>80062</v>
      </c>
    </row>
    <row r="77" spans="1:11" ht="12.75">
      <c r="A77" s="50"/>
      <c r="B77" s="3" t="s">
        <v>29</v>
      </c>
      <c r="C77" s="24">
        <f>SUM('FY 09-11 DD 1416 Tracker-Total'!F109)</f>
        <v>54122</v>
      </c>
      <c r="D77" s="25">
        <f>SUM('FY 09-11 DD 1416 Tracker-Total'!J109)</f>
        <v>56122</v>
      </c>
      <c r="E77" s="26">
        <f>SUM('FY 09-11 DD 1416 Tracker-Total'!M109)</f>
        <v>-165</v>
      </c>
      <c r="F77" s="24"/>
      <c r="G77" s="26">
        <f>SUM('FY 09-11 DD 1416 Tracker-Total'!X109)</f>
        <v>0</v>
      </c>
      <c r="H77" s="24">
        <v>0</v>
      </c>
      <c r="I77" s="94">
        <f>SUM('FY 09-11 DD 1416 Tracker-Total'!AA109:AT109)</f>
        <v>360</v>
      </c>
      <c r="J77" s="116">
        <f>SUM('FY 09-11 DD 1416 Tracker-Total'!AU109)</f>
        <v>2391</v>
      </c>
      <c r="K77" s="59">
        <f t="shared" si="16"/>
        <v>58708</v>
      </c>
    </row>
    <row r="78" spans="1:11" ht="12.75">
      <c r="A78" s="50"/>
      <c r="B78" s="3" t="s">
        <v>31</v>
      </c>
      <c r="C78" s="24">
        <f>SUM('FY 09-11 DD 1416 Tracker-Total'!F110)</f>
        <v>15689</v>
      </c>
      <c r="D78" s="25">
        <f>SUM('FY 09-11 DD 1416 Tracker-Total'!J110)</f>
        <v>23489</v>
      </c>
      <c r="E78" s="26">
        <f>SUM('FY 09-11 DD 1416 Tracker-Total'!M110)</f>
        <v>-69</v>
      </c>
      <c r="F78" s="24"/>
      <c r="G78" s="26">
        <f>SUM('FY 09-11 DD 1416 Tracker-Total'!X110)</f>
        <v>16250</v>
      </c>
      <c r="H78" s="24">
        <v>0</v>
      </c>
      <c r="I78" s="94">
        <f>SUM('FY 09-11 DD 1416 Tracker-Total'!AA110:AT110)</f>
        <v>0</v>
      </c>
      <c r="J78" s="116">
        <f>SUM('FY 09-11 DD 1416 Tracker-Total'!AU110)</f>
        <v>-103</v>
      </c>
      <c r="K78" s="59">
        <f t="shared" si="16"/>
        <v>39567</v>
      </c>
    </row>
    <row r="79" spans="1:11" ht="12.75">
      <c r="A79" s="50"/>
      <c r="B79" s="3" t="s">
        <v>32</v>
      </c>
      <c r="C79" s="24">
        <f>SUM('FY 09-11 DD 1416 Tracker-Total'!F111)</f>
        <v>1265</v>
      </c>
      <c r="D79" s="25">
        <f>SUM('FY 09-11 DD 1416 Tracker-Total'!J111)</f>
        <v>1265</v>
      </c>
      <c r="E79" s="26">
        <f>SUM('FY 09-11 DD 1416 Tracker-Total'!M111)</f>
        <v>-4</v>
      </c>
      <c r="F79" s="24"/>
      <c r="G79" s="26">
        <f>SUM('FY 09-11 DD 1416 Tracker-Total'!X111)</f>
        <v>0</v>
      </c>
      <c r="H79" s="24">
        <v>0</v>
      </c>
      <c r="I79" s="94">
        <f>SUM('FY 09-11 DD 1416 Tracker-Total'!AA111:AT111)</f>
        <v>0</v>
      </c>
      <c r="J79" s="116">
        <f>SUM('FY 09-11 DD 1416 Tracker-Total'!AU111)</f>
        <v>0</v>
      </c>
      <c r="K79" s="59">
        <f t="shared" si="16"/>
        <v>1261</v>
      </c>
    </row>
    <row r="80" spans="1:11" ht="12.75">
      <c r="A80" s="50"/>
      <c r="B80" s="3" t="s">
        <v>138</v>
      </c>
      <c r="C80" s="24">
        <f>SUM('FY 09-11 DD 1416 Tracker-Total'!F112)</f>
        <v>12484</v>
      </c>
      <c r="D80" s="25">
        <f>SUM('FY 09-11 DD 1416 Tracker-Total'!J112)</f>
        <v>12484</v>
      </c>
      <c r="E80" s="26">
        <f>SUM('FY 09-11 DD 1416 Tracker-Total'!M112)</f>
        <v>-37</v>
      </c>
      <c r="F80" s="24"/>
      <c r="G80" s="26">
        <f>SUM('FY 09-11 DD 1416 Tracker-Total'!X112)</f>
        <v>0</v>
      </c>
      <c r="H80" s="24">
        <v>0</v>
      </c>
      <c r="I80" s="94">
        <f>SUM('FY 09-11 DD 1416 Tracker-Total'!AA112:AT112)</f>
        <v>0</v>
      </c>
      <c r="J80" s="116">
        <f>SUM('FY 09-11 DD 1416 Tracker-Total'!AU112)</f>
        <v>0</v>
      </c>
      <c r="K80" s="59">
        <f t="shared" si="16"/>
        <v>12447</v>
      </c>
    </row>
    <row r="81" spans="1:11" ht="12.75">
      <c r="A81" s="50"/>
      <c r="B81" s="3" t="s">
        <v>33</v>
      </c>
      <c r="C81" s="24">
        <f>SUM('FY 09-11 DD 1416 Tracker-Total'!F113)</f>
        <v>18795</v>
      </c>
      <c r="D81" s="25">
        <f>SUM('FY 09-11 DD 1416 Tracker-Total'!J113)</f>
        <v>21675</v>
      </c>
      <c r="E81" s="26">
        <f>SUM('FY 09-11 DD 1416 Tracker-Total'!M113)</f>
        <v>-64</v>
      </c>
      <c r="F81" s="24"/>
      <c r="G81" s="26">
        <f>SUM('FY 09-11 DD 1416 Tracker-Total'!X113)</f>
        <v>0</v>
      </c>
      <c r="H81" s="24">
        <v>0</v>
      </c>
      <c r="I81" s="94">
        <f>SUM('FY 09-11 DD 1416 Tracker-Total'!AA113:AT113)</f>
        <v>0</v>
      </c>
      <c r="J81" s="116">
        <f>SUM('FY 09-11 DD 1416 Tracker-Total'!AU113)</f>
        <v>-503</v>
      </c>
      <c r="K81" s="59">
        <f t="shared" si="16"/>
        <v>21108</v>
      </c>
    </row>
    <row r="82" spans="1:11" ht="12.75">
      <c r="A82" s="50"/>
      <c r="B82" s="3" t="s">
        <v>34</v>
      </c>
      <c r="C82" s="24">
        <f>SUM('FY 09-11 DD 1416 Tracker-Total'!F114)</f>
        <v>3272</v>
      </c>
      <c r="D82" s="25">
        <f>SUM('FY 09-11 DD 1416 Tracker-Total'!J114)</f>
        <v>3272</v>
      </c>
      <c r="E82" s="26">
        <f>SUM('FY 09-11 DD 1416 Tracker-Total'!M114)</f>
        <v>-10</v>
      </c>
      <c r="F82" s="24"/>
      <c r="G82" s="26">
        <f>SUM('FY 09-11 DD 1416 Tracker-Total'!X114)</f>
        <v>0</v>
      </c>
      <c r="H82" s="24">
        <v>0</v>
      </c>
      <c r="I82" s="94">
        <f>SUM('FY 09-11 DD 1416 Tracker-Total'!AA114:AT114)</f>
        <v>0</v>
      </c>
      <c r="J82" s="116">
        <f>SUM('FY 09-11 DD 1416 Tracker-Total'!AU114)</f>
        <v>-651</v>
      </c>
      <c r="K82" s="59">
        <f t="shared" si="16"/>
        <v>2611</v>
      </c>
    </row>
    <row r="83" spans="1:11" ht="12.75">
      <c r="A83" s="50"/>
      <c r="B83" s="3" t="s">
        <v>35</v>
      </c>
      <c r="C83" s="24">
        <f>SUM('FY 09-11 DD 1416 Tracker-Total'!F115)</f>
        <v>3702</v>
      </c>
      <c r="D83" s="25">
        <f>SUM('FY 09-11 DD 1416 Tracker-Total'!J115)</f>
        <v>3702</v>
      </c>
      <c r="E83" s="26">
        <f>SUM('FY 09-11 DD 1416 Tracker-Total'!M115)</f>
        <v>-11</v>
      </c>
      <c r="F83" s="24"/>
      <c r="G83" s="26">
        <f>SUM('FY 09-11 DD 1416 Tracker-Total'!X115)</f>
        <v>0</v>
      </c>
      <c r="H83" s="24">
        <v>0</v>
      </c>
      <c r="I83" s="94">
        <f>SUM('FY 09-11 DD 1416 Tracker-Total'!AA115:AT115)</f>
        <v>159000</v>
      </c>
      <c r="J83" s="116">
        <f>SUM('FY 09-11 DD 1416 Tracker-Total'!AU115)</f>
        <v>900</v>
      </c>
      <c r="K83" s="59">
        <f t="shared" si="16"/>
        <v>163591</v>
      </c>
    </row>
    <row r="84" spans="1:11" ht="12.75">
      <c r="A84" s="50"/>
      <c r="B84" s="3" t="s">
        <v>139</v>
      </c>
      <c r="C84" s="24">
        <f>SUM('FY 09-11 DD 1416 Tracker-Total'!F116)</f>
        <v>34151</v>
      </c>
      <c r="D84" s="25">
        <f>SUM('FY 09-11 DD 1416 Tracker-Total'!J116)</f>
        <v>36151</v>
      </c>
      <c r="E84" s="26">
        <f>SUM('FY 09-11 DD 1416 Tracker-Total'!M116)</f>
        <v>-107</v>
      </c>
      <c r="F84" s="24"/>
      <c r="G84" s="26">
        <f>SUM('FY 09-11 DD 1416 Tracker-Total'!X116)</f>
        <v>0</v>
      </c>
      <c r="H84" s="24">
        <v>0</v>
      </c>
      <c r="I84" s="94">
        <f>SUM('FY 09-11 DD 1416 Tracker-Total'!AA116:AT116)</f>
        <v>155</v>
      </c>
      <c r="J84" s="116">
        <f>SUM('FY 09-11 DD 1416 Tracker-Total'!AU116)</f>
        <v>0</v>
      </c>
      <c r="K84" s="59">
        <f t="shared" si="16"/>
        <v>36199</v>
      </c>
    </row>
    <row r="85" spans="1:11" ht="12.75">
      <c r="A85" s="50"/>
      <c r="B85" s="3" t="s">
        <v>140</v>
      </c>
      <c r="C85" s="24">
        <f>SUM('FY 09-11 DD 1416 Tracker-Total'!F117)</f>
        <v>21593</v>
      </c>
      <c r="D85" s="25">
        <f>SUM('FY 09-11 DD 1416 Tracker-Total'!J117)</f>
        <v>20000</v>
      </c>
      <c r="E85" s="26">
        <f>SUM('FY 09-11 DD 1416 Tracker-Total'!M117)</f>
        <v>-59</v>
      </c>
      <c r="F85" s="24"/>
      <c r="G85" s="26">
        <f>SUM('FY 09-11 DD 1416 Tracker-Total'!X117)</f>
        <v>0</v>
      </c>
      <c r="H85" s="24">
        <v>0</v>
      </c>
      <c r="I85" s="94">
        <f>SUM('FY 09-11 DD 1416 Tracker-Total'!AA117:AT117)</f>
        <v>0</v>
      </c>
      <c r="J85" s="116">
        <f>SUM('FY 09-11 DD 1416 Tracker-Total'!AU117)</f>
        <v>1059</v>
      </c>
      <c r="K85" s="59">
        <f t="shared" si="16"/>
        <v>21000</v>
      </c>
    </row>
    <row r="86" spans="1:11" ht="12.75">
      <c r="A86" s="50"/>
      <c r="B86" s="3" t="s">
        <v>36</v>
      </c>
      <c r="C86" s="24">
        <f>SUM('FY 09-11 DD 1416 Tracker-Total'!F118)</f>
        <v>11722</v>
      </c>
      <c r="D86" s="25">
        <f>SUM('FY 09-11 DD 1416 Tracker-Total'!J118)</f>
        <v>11722</v>
      </c>
      <c r="E86" s="26">
        <f>SUM('FY 09-11 DD 1416 Tracker-Total'!M118)</f>
        <v>-35</v>
      </c>
      <c r="F86" s="24"/>
      <c r="G86" s="26">
        <f>SUM('FY 09-11 DD 1416 Tracker-Total'!X118)</f>
        <v>0</v>
      </c>
      <c r="H86" s="24">
        <v>0</v>
      </c>
      <c r="I86" s="94">
        <f>SUM('FY 09-11 DD 1416 Tracker-Total'!AA118:AT118)</f>
        <v>0</v>
      </c>
      <c r="J86" s="116">
        <f>SUM('FY 09-11 DD 1416 Tracker-Total'!AU118)</f>
        <v>-2337</v>
      </c>
      <c r="K86" s="59">
        <f t="shared" si="16"/>
        <v>9350</v>
      </c>
    </row>
    <row r="87" spans="1:11" ht="12.75">
      <c r="A87" s="50"/>
      <c r="B87" s="3" t="s">
        <v>37</v>
      </c>
      <c r="C87" s="24">
        <f>SUM('FY 09-11 DD 1416 Tracker-Total'!F119)</f>
        <v>27194</v>
      </c>
      <c r="D87" s="25">
        <f>SUM('FY 09-11 DD 1416 Tracker-Total'!J119)</f>
        <v>55561</v>
      </c>
      <c r="E87" s="26">
        <f>SUM('FY 09-11 DD 1416 Tracker-Total'!M119)</f>
        <v>-164</v>
      </c>
      <c r="F87" s="24"/>
      <c r="G87" s="26">
        <f>SUM('FY 09-11 DD 1416 Tracker-Total'!X119)</f>
        <v>0</v>
      </c>
      <c r="H87" s="24">
        <v>0</v>
      </c>
      <c r="I87" s="94">
        <f>SUM('FY 09-11 DD 1416 Tracker-Total'!AA119:AT119)</f>
        <v>0</v>
      </c>
      <c r="J87" s="116">
        <f>SUM('FY 09-11 DD 1416 Tracker-Total'!AU119)</f>
        <v>0</v>
      </c>
      <c r="K87" s="59">
        <f t="shared" si="16"/>
        <v>55397</v>
      </c>
    </row>
    <row r="88" spans="1:11" ht="12.75">
      <c r="A88" s="50"/>
      <c r="B88" s="3" t="s">
        <v>220</v>
      </c>
      <c r="C88" s="24">
        <f>SUM('FY 09-11 DD 1416 Tracker-Total'!F120)</f>
        <v>55248</v>
      </c>
      <c r="D88" s="25">
        <f>SUM('FY 09-11 DD 1416 Tracker-Total'!J120)</f>
        <v>55248</v>
      </c>
      <c r="E88" s="26">
        <f>SUM('FY 09-11 DD 1416 Tracker-Total'!M120)</f>
        <v>-163</v>
      </c>
      <c r="F88" s="24"/>
      <c r="G88" s="26">
        <f>SUM('FY 09-11 DD 1416 Tracker-Total'!X120)</f>
        <v>0</v>
      </c>
      <c r="H88" s="24">
        <v>0</v>
      </c>
      <c r="I88" s="94">
        <f>SUM('FY 09-11 DD 1416 Tracker-Total'!AA120:AT120)</f>
        <v>0</v>
      </c>
      <c r="J88" s="116">
        <f>SUM('FY 09-11 DD 1416 Tracker-Total'!AU120)</f>
        <v>551</v>
      </c>
      <c r="K88" s="59">
        <f t="shared" si="16"/>
        <v>55636</v>
      </c>
    </row>
    <row r="89" spans="1:11" ht="12.75">
      <c r="A89" s="50"/>
      <c r="B89" s="117" t="s">
        <v>221</v>
      </c>
      <c r="C89" s="24">
        <f>SUM('FY 09-11 DD 1416 Tracker-Total'!F121)</f>
        <v>15862</v>
      </c>
      <c r="D89" s="25">
        <f>SUM('FY 09-11 DD 1416 Tracker-Total'!J121)</f>
        <v>15862</v>
      </c>
      <c r="E89" s="26">
        <f>SUM('FY 09-11 DD 1416 Tracker-Total'!M121)</f>
        <v>-47</v>
      </c>
      <c r="F89" s="24"/>
      <c r="G89" s="26">
        <f>SUM('FY 09-11 DD 1416 Tracker-Total'!X121)</f>
        <v>0</v>
      </c>
      <c r="H89" s="24">
        <v>0</v>
      </c>
      <c r="I89" s="94">
        <f>SUM('FY 09-11 DD 1416 Tracker-Total'!AA121:AT121)</f>
        <v>0</v>
      </c>
      <c r="J89" s="116">
        <f>SUM('FY 09-11 DD 1416 Tracker-Total'!AU121)</f>
        <v>-830</v>
      </c>
      <c r="K89" s="59">
        <f>SUM(D89:J89)</f>
        <v>14985</v>
      </c>
    </row>
    <row r="90" spans="1:11" ht="12.75">
      <c r="A90" s="50"/>
      <c r="B90" s="3" t="s">
        <v>223</v>
      </c>
      <c r="C90" s="24">
        <f>SUM('FY 09-11 DD 1416 Tracker-Total'!F122)</f>
        <v>25892</v>
      </c>
      <c r="D90" s="25">
        <f>SUM('FY 09-11 DD 1416 Tracker-Total'!J122)</f>
        <v>25892</v>
      </c>
      <c r="E90" s="26">
        <f>SUM('FY 09-11 DD 1416 Tracker-Total'!M122)</f>
        <v>-76</v>
      </c>
      <c r="F90" s="24"/>
      <c r="G90" s="26">
        <f>SUM('FY 09-11 DD 1416 Tracker-Total'!X122)</f>
        <v>33750</v>
      </c>
      <c r="H90" s="24">
        <v>0</v>
      </c>
      <c r="I90" s="94">
        <f>SUM('FY 09-11 DD 1416 Tracker-Total'!AA122:AT122)</f>
        <v>0</v>
      </c>
      <c r="J90" s="116">
        <f>SUM('FY 09-11 DD 1416 Tracker-Total'!AU122)</f>
        <v>5000</v>
      </c>
      <c r="K90" s="59">
        <f>SUM(D90:J90)</f>
        <v>64566</v>
      </c>
    </row>
    <row r="91" spans="1:11" ht="12.75">
      <c r="A91" s="50"/>
      <c r="B91" s="117" t="s">
        <v>222</v>
      </c>
      <c r="C91" s="24">
        <f>SUM('FY 09-11 DD 1416 Tracker-Total'!F123)</f>
        <v>15455</v>
      </c>
      <c r="D91" s="25">
        <f>SUM('FY 09-11 DD 1416 Tracker-Total'!J123)</f>
        <v>19455</v>
      </c>
      <c r="E91" s="26">
        <f>SUM('FY 09-11 DD 1416 Tracker-Total'!M123)</f>
        <v>-57</v>
      </c>
      <c r="F91" s="24"/>
      <c r="G91" s="26">
        <f>SUM('FY 09-11 DD 1416 Tracker-Total'!X123)</f>
        <v>0</v>
      </c>
      <c r="H91" s="24">
        <v>0</v>
      </c>
      <c r="I91" s="94">
        <f>SUM('FY 09-11 DD 1416 Tracker-Total'!AA123:AT123)</f>
        <v>0</v>
      </c>
      <c r="J91" s="116">
        <f>SUM('FY 09-11 DD 1416 Tracker-Total'!AU123)</f>
        <v>-3917</v>
      </c>
      <c r="K91" s="59">
        <f>SUM(D91:J91)</f>
        <v>15481</v>
      </c>
    </row>
    <row r="92" spans="1:11" ht="12.75">
      <c r="A92" s="50"/>
      <c r="B92" s="117" t="s">
        <v>224</v>
      </c>
      <c r="C92" s="24">
        <f>SUM('FY 09-11 DD 1416 Tracker-Total'!F124)</f>
        <v>30201</v>
      </c>
      <c r="D92" s="25">
        <f>SUM('FY 09-11 DD 1416 Tracker-Total'!J124)</f>
        <v>25351</v>
      </c>
      <c r="E92" s="26">
        <f>SUM('FY 09-11 DD 1416 Tracker-Total'!M124)</f>
        <v>-75</v>
      </c>
      <c r="F92" s="24"/>
      <c r="G92" s="26">
        <f>SUM('FY 09-11 DD 1416 Tracker-Total'!X124)</f>
        <v>0</v>
      </c>
      <c r="H92" s="24">
        <v>0</v>
      </c>
      <c r="I92" s="94">
        <f>SUM('FY 09-11 DD 1416 Tracker-Total'!AA124:AT124)</f>
        <v>0</v>
      </c>
      <c r="J92" s="116">
        <f>SUM('FY 09-11 DD 1416 Tracker-Total'!AU124)</f>
        <v>37</v>
      </c>
      <c r="K92" s="59">
        <f>SUM(D92:J92)</f>
        <v>25313</v>
      </c>
    </row>
    <row r="93" spans="1:11" ht="12.75">
      <c r="A93" s="50"/>
      <c r="B93" s="117" t="s">
        <v>225</v>
      </c>
      <c r="C93" s="24">
        <f>SUM('FY 09-11 DD 1416 Tracker-Total'!F125)</f>
        <v>33966</v>
      </c>
      <c r="D93" s="25">
        <f>SUM('FY 09-11 DD 1416 Tracker-Total'!J125)</f>
        <v>23566</v>
      </c>
      <c r="E93" s="26">
        <f>SUM('FY 09-11 DD 1416 Tracker-Total'!M125)</f>
        <v>-69</v>
      </c>
      <c r="F93" s="24"/>
      <c r="G93" s="26">
        <f>SUM('FY 09-11 DD 1416 Tracker-Total'!X125)</f>
        <v>0</v>
      </c>
      <c r="H93" s="24">
        <v>0</v>
      </c>
      <c r="I93" s="94">
        <f>SUM('FY 09-11 DD 1416 Tracker-Total'!AA125:AT125)</f>
        <v>11162</v>
      </c>
      <c r="J93" s="116">
        <f>SUM('FY 09-11 DD 1416 Tracker-Total'!AU125)</f>
        <v>-3686</v>
      </c>
      <c r="K93" s="59">
        <f>SUM(D93:J93)</f>
        <v>30973</v>
      </c>
    </row>
    <row r="94" spans="1:11" ht="12.75">
      <c r="A94" s="50"/>
      <c r="B94" s="117" t="s">
        <v>38</v>
      </c>
      <c r="C94" s="24">
        <f>SUM('FY 09-11 DD 1416 Tracker-Total'!F126)</f>
        <v>13450</v>
      </c>
      <c r="D94" s="25">
        <f>SUM('FY 09-11 DD 1416 Tracker-Total'!J126)</f>
        <v>13450</v>
      </c>
      <c r="E94" s="26">
        <f>SUM('FY 09-11 DD 1416 Tracker-Total'!M126)</f>
        <v>-40</v>
      </c>
      <c r="F94" s="24"/>
      <c r="G94" s="26">
        <f>SUM('FY 09-11 DD 1416 Tracker-Total'!X126)</f>
        <v>0</v>
      </c>
      <c r="H94" s="24">
        <v>0</v>
      </c>
      <c r="I94" s="94">
        <f>SUM('FY 09-11 DD 1416 Tracker-Total'!AA126:AT126)</f>
        <v>0</v>
      </c>
      <c r="J94" s="116">
        <f>SUM('FY 09-11 DD 1416 Tracker-Total'!AU126)</f>
        <v>0</v>
      </c>
      <c r="K94" s="59">
        <f t="shared" si="16"/>
        <v>13410</v>
      </c>
    </row>
    <row r="95" spans="1:11" ht="12.75">
      <c r="A95" s="50"/>
      <c r="B95" s="117" t="s">
        <v>39</v>
      </c>
      <c r="C95" s="24">
        <f>SUM('FY 09-11 DD 1416 Tracker-Total'!F127)</f>
        <v>15331</v>
      </c>
      <c r="D95" s="25">
        <f>SUM('FY 09-11 DD 1416 Tracker-Total'!J127)</f>
        <v>15331</v>
      </c>
      <c r="E95" s="26">
        <f>SUM('FY 09-11 DD 1416 Tracker-Total'!M127)</f>
        <v>-45</v>
      </c>
      <c r="F95" s="24"/>
      <c r="G95" s="26">
        <f>SUM('FY 09-11 DD 1416 Tracker-Total'!X127)</f>
        <v>0</v>
      </c>
      <c r="H95" s="24">
        <v>0</v>
      </c>
      <c r="I95" s="94">
        <f>SUM('FY 09-11 DD 1416 Tracker-Total'!AA127:AT127)</f>
        <v>0</v>
      </c>
      <c r="J95" s="116">
        <f>SUM('FY 09-11 DD 1416 Tracker-Total'!AU127)</f>
        <v>-3006</v>
      </c>
      <c r="K95" s="59">
        <f t="shared" si="16"/>
        <v>12280</v>
      </c>
    </row>
    <row r="96" spans="1:11" ht="12.75">
      <c r="A96" s="50"/>
      <c r="B96" s="117" t="s">
        <v>198</v>
      </c>
      <c r="C96" s="24">
        <f>SUM('FY 09-11 DD 1416 Tracker-Total'!F128)</f>
        <v>315443</v>
      </c>
      <c r="D96" s="25">
        <f>SUM('FY 09-11 DD 1416 Tracker-Total'!J128)</f>
        <v>319443</v>
      </c>
      <c r="E96" s="26">
        <f>SUM('FY 09-11 DD 1416 Tracker-Total'!M128)</f>
        <v>-941</v>
      </c>
      <c r="F96" s="24"/>
      <c r="G96" s="26">
        <f>SUM('FY 09-11 DD 1416 Tracker-Total'!X128)</f>
        <v>0</v>
      </c>
      <c r="H96" s="24">
        <v>0</v>
      </c>
      <c r="I96" s="94">
        <f>SUM('FY 09-11 DD 1416 Tracker-Total'!AA128:AT128)</f>
        <v>1549</v>
      </c>
      <c r="J96" s="116">
        <f>SUM('FY 09-11 DD 1416 Tracker-Total'!AU128)</f>
        <v>-11061</v>
      </c>
      <c r="K96" s="59">
        <f t="shared" si="16"/>
        <v>308990</v>
      </c>
    </row>
    <row r="97" spans="1:11" ht="12.75">
      <c r="A97" s="50"/>
      <c r="B97" s="117" t="s">
        <v>40</v>
      </c>
      <c r="C97" s="24">
        <f>SUM('FY 09-11 DD 1416 Tracker-Total'!F129)</f>
        <v>64778</v>
      </c>
      <c r="D97" s="25">
        <f>SUM('FY 09-11 DD 1416 Tracker-Total'!J129)</f>
        <v>55778</v>
      </c>
      <c r="E97" s="26">
        <f>SUM('FY 09-11 DD 1416 Tracker-Total'!M129)</f>
        <v>-164</v>
      </c>
      <c r="F97" s="24"/>
      <c r="G97" s="26">
        <f>SUM('FY 09-11 DD 1416 Tracker-Total'!X129)</f>
        <v>0</v>
      </c>
      <c r="H97" s="24">
        <v>0</v>
      </c>
      <c r="I97" s="94">
        <f>SUM('FY 09-11 DD 1416 Tracker-Total'!AA129:AT129)</f>
        <v>-18662</v>
      </c>
      <c r="J97" s="116">
        <f>SUM('FY 09-11 DD 1416 Tracker-Total'!AU129)</f>
        <v>-6124</v>
      </c>
      <c r="K97" s="59">
        <f t="shared" si="16"/>
        <v>30828</v>
      </c>
    </row>
    <row r="98" spans="1:11" ht="13.5" thickBot="1">
      <c r="A98" s="50"/>
      <c r="B98" s="31" t="s">
        <v>185</v>
      </c>
      <c r="C98" s="24">
        <f>SUM('FY 09-11 DD 1416 Tracker-Total'!F131)</f>
        <v>0</v>
      </c>
      <c r="D98" s="25">
        <f>SUM('FY 09-11 DD 1416 Tracker-Total'!J131)</f>
        <v>0</v>
      </c>
      <c r="E98" s="26">
        <f>SUM('FY 09-11 DD 1416 Tracker-Total'!M131)</f>
        <v>0</v>
      </c>
      <c r="F98" s="24"/>
      <c r="G98" s="26">
        <f>SUM('FY 09-11 DD 1416 Tracker-Total'!X131)</f>
        <v>0</v>
      </c>
      <c r="H98" s="24">
        <v>0</v>
      </c>
      <c r="I98" s="94">
        <f>SUM('FY 09-11 DD 1416 Tracker-Total'!AA131:AT131)</f>
        <v>3079</v>
      </c>
      <c r="J98" s="116">
        <f>SUM('FY 09-11 DD 1416 Tracker-Total'!AU130)</f>
        <v>0</v>
      </c>
      <c r="K98" s="59">
        <f t="shared" si="16"/>
        <v>3079</v>
      </c>
    </row>
    <row r="99" spans="1:14" s="11" customFormat="1" ht="13.5" thickBot="1">
      <c r="A99" s="247"/>
      <c r="B99" s="37" t="s">
        <v>233</v>
      </c>
      <c r="C99" s="252">
        <f aca="true" t="shared" si="17" ref="C99:K99">SUM(C63:C98)</f>
        <v>1450512</v>
      </c>
      <c r="D99" s="252">
        <f t="shared" si="17"/>
        <v>1487375</v>
      </c>
      <c r="E99" s="252">
        <f t="shared" si="17"/>
        <v>-4387</v>
      </c>
      <c r="F99" s="252">
        <f t="shared" si="17"/>
        <v>0</v>
      </c>
      <c r="G99" s="252">
        <f t="shared" si="17"/>
        <v>110640</v>
      </c>
      <c r="H99" s="252">
        <f t="shared" si="17"/>
        <v>0</v>
      </c>
      <c r="I99" s="252">
        <f t="shared" si="17"/>
        <v>292594</v>
      </c>
      <c r="J99" s="252">
        <f t="shared" si="17"/>
        <v>0</v>
      </c>
      <c r="K99" s="252">
        <f t="shared" si="17"/>
        <v>1886222</v>
      </c>
      <c r="N99" s="10"/>
    </row>
    <row r="100" spans="1:11" ht="12.75">
      <c r="A100" s="49"/>
      <c r="B100" s="40"/>
      <c r="C100" s="24"/>
      <c r="D100" s="25"/>
      <c r="E100" s="26"/>
      <c r="F100" s="24"/>
      <c r="G100" s="26"/>
      <c r="H100" s="24"/>
      <c r="I100" s="94"/>
      <c r="J100" s="116"/>
      <c r="K100" s="25"/>
    </row>
    <row r="101" spans="1:11" ht="12.75">
      <c r="A101" s="49" t="s">
        <v>173</v>
      </c>
      <c r="B101" s="3" t="s">
        <v>42</v>
      </c>
      <c r="C101" s="24">
        <f>SUM('FY 09-11 DD 1416 Tracker-Total'!F139)</f>
        <v>88565</v>
      </c>
      <c r="D101" s="25">
        <f>SUM('FY 09-11 DD 1416 Tracker-Total'!J139)</f>
        <v>88565</v>
      </c>
      <c r="E101" s="26">
        <f>SUM('FY 09-11 DD 1416 Tracker-Total'!M139)</f>
        <v>-261</v>
      </c>
      <c r="F101" s="24"/>
      <c r="G101" s="26">
        <f>SUM('FY 09-11 DD 1416 Tracker-Total'!X139)</f>
        <v>0</v>
      </c>
      <c r="H101" s="24">
        <v>0</v>
      </c>
      <c r="I101" s="94">
        <f>SUM('FY 09-11 DD 1416 Tracker-Total'!AA139)</f>
        <v>0</v>
      </c>
      <c r="J101" s="116">
        <f>SUM('FY 09-11 DD 1416 Tracker-Total'!AU139)</f>
        <v>99</v>
      </c>
      <c r="K101" s="25">
        <f aca="true" t="shared" si="18" ref="K101:K106">SUM(D101:J101)</f>
        <v>88403</v>
      </c>
    </row>
    <row r="102" spans="1:11" ht="12.75">
      <c r="A102" s="49"/>
      <c r="B102" s="3" t="s">
        <v>43</v>
      </c>
      <c r="C102" s="24">
        <f>SUM('FY 09-11 DD 1416 Tracker-Total'!F140)</f>
        <v>80211</v>
      </c>
      <c r="D102" s="25">
        <f>SUM('FY 09-11 DD 1416 Tracker-Total'!J140)</f>
        <v>80211</v>
      </c>
      <c r="E102" s="26">
        <f>SUM('FY 09-11 DD 1416 Tracker-Total'!M140)</f>
        <v>-237</v>
      </c>
      <c r="F102" s="24"/>
      <c r="G102" s="26">
        <f>SUM('FY 09-11 DD 1416 Tracker-Total'!X140)</f>
        <v>0</v>
      </c>
      <c r="H102" s="24">
        <v>0</v>
      </c>
      <c r="I102" s="94">
        <f>SUM('FY 09-11 DD 1416 Tracker-Total'!AA140)</f>
        <v>0</v>
      </c>
      <c r="J102" s="116">
        <f>SUM('FY 09-11 DD 1416 Tracker-Total'!AU140)</f>
        <v>-99</v>
      </c>
      <c r="K102" s="25">
        <f t="shared" si="18"/>
        <v>79875</v>
      </c>
    </row>
    <row r="103" spans="1:11" ht="12.75">
      <c r="A103" s="49"/>
      <c r="B103" s="3" t="s">
        <v>44</v>
      </c>
      <c r="C103" s="24">
        <f>SUM('FY 09-11 DD 1416 Tracker-Total'!F141)</f>
        <v>22299</v>
      </c>
      <c r="D103" s="25">
        <f>SUM('FY 09-11 DD 1416 Tracker-Total'!J141)</f>
        <v>25579</v>
      </c>
      <c r="E103" s="26">
        <f>SUM('FY 09-11 DD 1416 Tracker-Total'!M141)</f>
        <v>-75</v>
      </c>
      <c r="F103" s="24"/>
      <c r="G103" s="26">
        <f>SUM('FY 09-11 DD 1416 Tracker-Total'!X141)</f>
        <v>0</v>
      </c>
      <c r="H103" s="24">
        <v>0</v>
      </c>
      <c r="I103" s="94">
        <f>SUM('FY 09-11 DD 1416 Tracker-Total'!AA141)</f>
        <v>0</v>
      </c>
      <c r="J103" s="116">
        <f>SUM('FY 09-11 DD 1416 Tracker-Total'!AU141)</f>
        <v>-5100</v>
      </c>
      <c r="K103" s="25">
        <f t="shared" si="18"/>
        <v>20404</v>
      </c>
    </row>
    <row r="104" spans="1:11" ht="12.75">
      <c r="A104" s="49"/>
      <c r="B104" s="3" t="s">
        <v>45</v>
      </c>
      <c r="C104" s="24">
        <f>SUM('FY 09-11 DD 1416 Tracker-Total'!F142)</f>
        <v>38702</v>
      </c>
      <c r="D104" s="25">
        <f>SUM('FY 09-11 DD 1416 Tracker-Total'!J142)</f>
        <v>38702</v>
      </c>
      <c r="E104" s="26">
        <f>SUM('FY 09-11 DD 1416 Tracker-Total'!M142)</f>
        <v>-114</v>
      </c>
      <c r="F104" s="24"/>
      <c r="G104" s="26">
        <f>SUM('FY 09-11 DD 1416 Tracker-Total'!X142)</f>
        <v>0</v>
      </c>
      <c r="H104" s="24">
        <v>0</v>
      </c>
      <c r="I104" s="94">
        <f>SUM('FY 09-11 DD 1416 Tracker-Total'!AA142)</f>
        <v>0</v>
      </c>
      <c r="J104" s="116">
        <f>SUM('FY 09-11 DD 1416 Tracker-Total'!AU142)</f>
        <v>0</v>
      </c>
      <c r="K104" s="25">
        <f t="shared" si="18"/>
        <v>38588</v>
      </c>
    </row>
    <row r="105" spans="1:11" ht="12.75">
      <c r="A105" s="49"/>
      <c r="B105" s="3" t="s">
        <v>199</v>
      </c>
      <c r="C105" s="24">
        <f>SUM('FY 09-11 DD 1416 Tracker-Total'!F143)</f>
        <v>37784</v>
      </c>
      <c r="D105" s="25">
        <f>SUM('FY 09-11 DD 1416 Tracker-Total'!J143)</f>
        <v>37784</v>
      </c>
      <c r="E105" s="26">
        <f>SUM('FY 09-11 DD 1416 Tracker-Total'!M143)</f>
        <v>-111</v>
      </c>
      <c r="F105" s="24"/>
      <c r="G105" s="26">
        <f>SUM('FY 09-11 DD 1416 Tracker-Total'!X143)</f>
        <v>0</v>
      </c>
      <c r="H105" s="24">
        <v>0</v>
      </c>
      <c r="I105" s="94">
        <f>SUM('FY 09-11 DD 1416 Tracker-Total'!AA143)</f>
        <v>0</v>
      </c>
      <c r="J105" s="116">
        <f>SUM('FY 09-11 DD 1416 Tracker-Total'!AU143)</f>
        <v>0</v>
      </c>
      <c r="K105" s="25">
        <f t="shared" si="18"/>
        <v>37673</v>
      </c>
    </row>
    <row r="106" spans="1:11" ht="13.5" thickBot="1">
      <c r="A106" s="49"/>
      <c r="B106" s="3" t="s">
        <v>46</v>
      </c>
      <c r="C106" s="24">
        <f>SUM('FY 09-11 DD 1416 Tracker-Total'!F144)</f>
        <v>199610</v>
      </c>
      <c r="D106" s="25">
        <f>SUM('FY 09-11 DD 1416 Tracker-Total'!J144)</f>
        <v>186160</v>
      </c>
      <c r="E106" s="26">
        <f>SUM('FY 09-11 DD 1416 Tracker-Total'!M144)</f>
        <v>-549</v>
      </c>
      <c r="F106" s="24"/>
      <c r="G106" s="26">
        <f>SUM('FY 09-11 DD 1416 Tracker-Total'!X144)</f>
        <v>0</v>
      </c>
      <c r="H106" s="24">
        <v>0</v>
      </c>
      <c r="I106" s="94">
        <f>SUM('FY 09-11 DD 1416 Tracker-Total'!AA144)</f>
        <v>0</v>
      </c>
      <c r="J106" s="116">
        <f>SUM('FY 09-11 DD 1416 Tracker-Total'!AU144)</f>
        <v>5100</v>
      </c>
      <c r="K106" s="25">
        <f t="shared" si="18"/>
        <v>190711</v>
      </c>
    </row>
    <row r="107" spans="1:11" s="11" customFormat="1" ht="13.5" thickBot="1">
      <c r="A107" s="247"/>
      <c r="B107" s="37" t="s">
        <v>234</v>
      </c>
      <c r="C107" s="252">
        <f>SUM(C101:C106)</f>
        <v>467171</v>
      </c>
      <c r="D107" s="252">
        <f aca="true" t="shared" si="19" ref="D107:K107">SUM(D101:D106)</f>
        <v>457001</v>
      </c>
      <c r="E107" s="252">
        <f t="shared" si="19"/>
        <v>-1347</v>
      </c>
      <c r="F107" s="252">
        <f t="shared" si="19"/>
        <v>0</v>
      </c>
      <c r="G107" s="252">
        <f t="shared" si="19"/>
        <v>0</v>
      </c>
      <c r="H107" s="252">
        <f t="shared" si="19"/>
        <v>0</v>
      </c>
      <c r="I107" s="252">
        <f t="shared" si="19"/>
        <v>0</v>
      </c>
      <c r="J107" s="252">
        <f t="shared" si="19"/>
        <v>0</v>
      </c>
      <c r="K107" s="252">
        <f t="shared" si="19"/>
        <v>455654</v>
      </c>
    </row>
    <row r="108" spans="1:11" ht="12.75">
      <c r="A108" s="41"/>
      <c r="B108" s="42"/>
      <c r="C108" s="24"/>
      <c r="D108" s="29"/>
      <c r="E108" s="31"/>
      <c r="F108" s="33"/>
      <c r="G108" s="31"/>
      <c r="H108" s="33"/>
      <c r="I108" s="93"/>
      <c r="J108" s="123"/>
      <c r="K108" s="25"/>
    </row>
    <row r="109" spans="1:11" ht="12.75">
      <c r="A109" s="41" t="s">
        <v>235</v>
      </c>
      <c r="B109" s="3" t="s">
        <v>226</v>
      </c>
      <c r="C109" s="24">
        <v>0</v>
      </c>
      <c r="D109" s="25">
        <f>SUM('FY 09-11 DD 1416 Tracker-Total'!Q151)</f>
        <v>57100</v>
      </c>
      <c r="E109" s="26">
        <f>SUM('FY 09-11 DD 1416 Tracker-Total'!M151)</f>
        <v>-168</v>
      </c>
      <c r="F109" s="33"/>
      <c r="G109" s="26">
        <f>SUM('FY 09-11 DD 1416 Tracker-Total'!X151)</f>
        <v>0</v>
      </c>
      <c r="H109" s="24">
        <v>0</v>
      </c>
      <c r="I109" s="94">
        <f>SUM('FY 09-11 DD 1416 Tracker-Total'!AA151)</f>
        <v>0</v>
      </c>
      <c r="J109" s="116">
        <f>SUM('FY 09-11 DD 1416 Tracker-Total'!AU151)</f>
        <v>0</v>
      </c>
      <c r="K109" s="25">
        <f>SUM(D109:J109)</f>
        <v>56932</v>
      </c>
    </row>
    <row r="110" spans="1:11" ht="13.5" thickBot="1">
      <c r="A110" s="41"/>
      <c r="B110" s="3" t="s">
        <v>227</v>
      </c>
      <c r="C110" s="24">
        <v>0</v>
      </c>
      <c r="D110" s="25">
        <f>SUM('FY 09-11 DD 1416 Tracker-Total'!Q152)</f>
        <v>105000</v>
      </c>
      <c r="E110" s="26">
        <f>SUM('FY 09-11 DD 1416 Tracker-Total'!M152)</f>
        <v>-310</v>
      </c>
      <c r="F110" s="33"/>
      <c r="G110" s="26">
        <f>SUM('FY 09-11 DD 1416 Tracker-Total'!X152)</f>
        <v>0</v>
      </c>
      <c r="H110" s="24">
        <v>0</v>
      </c>
      <c r="I110" s="94">
        <f>SUM('FY 09-11 DD 1416 Tracker-Total'!AA152)</f>
        <v>0</v>
      </c>
      <c r="J110" s="116">
        <f>SUM('FY 09-11 DD 1416 Tracker-Total'!AU152)</f>
        <v>0</v>
      </c>
      <c r="K110" s="25">
        <f>SUM(D110:J110)</f>
        <v>104690</v>
      </c>
    </row>
    <row r="111" spans="1:13" s="11" customFormat="1" ht="13.5" thickBot="1">
      <c r="A111" s="247"/>
      <c r="B111" s="37" t="s">
        <v>236</v>
      </c>
      <c r="C111" s="252">
        <f>SUM(C109:C110)</f>
        <v>0</v>
      </c>
      <c r="D111" s="252">
        <f aca="true" t="shared" si="20" ref="D111:K111">SUM(D109:D110)</f>
        <v>162100</v>
      </c>
      <c r="E111" s="252">
        <f t="shared" si="20"/>
        <v>-478</v>
      </c>
      <c r="F111" s="252">
        <f t="shared" si="20"/>
        <v>0</v>
      </c>
      <c r="G111" s="252">
        <f t="shared" si="20"/>
        <v>0</v>
      </c>
      <c r="H111" s="252">
        <f t="shared" si="20"/>
        <v>0</v>
      </c>
      <c r="I111" s="252">
        <f t="shared" si="20"/>
        <v>0</v>
      </c>
      <c r="J111" s="252">
        <f t="shared" si="20"/>
        <v>0</v>
      </c>
      <c r="K111" s="252">
        <f t="shared" si="20"/>
        <v>161622</v>
      </c>
      <c r="M111" s="11" t="s">
        <v>256</v>
      </c>
    </row>
    <row r="112" spans="1:11" ht="12.75">
      <c r="A112" s="41"/>
      <c r="B112" s="42"/>
      <c r="C112" s="24"/>
      <c r="D112" s="29"/>
      <c r="E112" s="31"/>
      <c r="F112" s="33"/>
      <c r="G112" s="31"/>
      <c r="H112" s="33"/>
      <c r="I112" s="93"/>
      <c r="J112" s="123"/>
      <c r="K112" s="25"/>
    </row>
    <row r="113" spans="1:11" ht="13.5" thickBot="1">
      <c r="A113" s="41"/>
      <c r="B113" s="42"/>
      <c r="C113" s="24"/>
      <c r="D113" s="29"/>
      <c r="E113" s="31"/>
      <c r="F113" s="33"/>
      <c r="G113" s="31"/>
      <c r="H113" s="24"/>
      <c r="I113" s="93"/>
      <c r="J113" s="123"/>
      <c r="K113" s="25"/>
    </row>
    <row r="114" spans="1:11" s="256" customFormat="1" ht="13.5" thickBot="1">
      <c r="A114" s="43" t="s">
        <v>47</v>
      </c>
      <c r="B114" s="44" t="s">
        <v>164</v>
      </c>
      <c r="C114" s="252">
        <f>SUM('FY 09-11 DD 1416 Tracker-Class'!F49)</f>
        <v>671379</v>
      </c>
      <c r="D114" s="252">
        <f>SUM('FY 09-11 DD 1416 Tracker-Class'!J49)</f>
        <v>648379</v>
      </c>
      <c r="E114" s="253">
        <f>SUM('FY 09-11 DD 1416 Tracker-Class'!M49)</f>
        <v>-1912</v>
      </c>
      <c r="F114" s="252">
        <v>0</v>
      </c>
      <c r="G114" s="253">
        <f>SUM('FY 09-11 DD 1416 Tracker-Class'!T49)</f>
        <v>63734</v>
      </c>
      <c r="H114" s="252">
        <v>0</v>
      </c>
      <c r="I114" s="253">
        <f>SUM('FY 09-11 DD 1416 Tracker-Class'!AA54:AH54)</f>
        <v>-211</v>
      </c>
      <c r="J114" s="252">
        <f>SUM('FY 09-11 DD 1416 Tracker-Class'!AI49)</f>
        <v>63059</v>
      </c>
      <c r="K114" s="252">
        <f>SUM(D114:J114)</f>
        <v>773049</v>
      </c>
    </row>
    <row r="115" spans="1:11" s="22" customFormat="1" ht="13.5" thickBot="1">
      <c r="A115" s="224"/>
      <c r="B115" s="225"/>
      <c r="C115" s="116"/>
      <c r="D115" s="59"/>
      <c r="E115" s="94"/>
      <c r="F115" s="116"/>
      <c r="G115" s="94"/>
      <c r="H115" s="116"/>
      <c r="I115" s="94"/>
      <c r="J115" s="116"/>
      <c r="K115" s="96"/>
    </row>
    <row r="116" spans="1:11" s="10" customFormat="1" ht="13.5" thickBot="1">
      <c r="A116" s="43" t="s">
        <v>175</v>
      </c>
      <c r="B116" s="39" t="s">
        <v>59</v>
      </c>
      <c r="C116" s="252">
        <f>SUM(C61+C99+C107+C114)</f>
        <v>3164228</v>
      </c>
      <c r="D116" s="252">
        <f aca="true" t="shared" si="21" ref="D116:J116">SUM(D61+D99+D107+D111+D114)</f>
        <v>3306269</v>
      </c>
      <c r="E116" s="252">
        <f t="shared" si="21"/>
        <v>-9749</v>
      </c>
      <c r="F116" s="252">
        <f t="shared" si="21"/>
        <v>0</v>
      </c>
      <c r="G116" s="252">
        <f t="shared" si="21"/>
        <v>174374</v>
      </c>
      <c r="H116" s="252">
        <f t="shared" si="21"/>
        <v>0</v>
      </c>
      <c r="I116" s="252">
        <f t="shared" si="21"/>
        <v>288923</v>
      </c>
      <c r="J116" s="252">
        <f t="shared" si="21"/>
        <v>62547</v>
      </c>
      <c r="K116" s="252">
        <f>SUM(K61+K99+K107+K111+K114)-1</f>
        <v>3822364</v>
      </c>
    </row>
    <row r="117" ht="12.75">
      <c r="A117" s="50"/>
    </row>
    <row r="118" ht="12.75">
      <c r="A118" s="50"/>
    </row>
    <row r="119" ht="12.75">
      <c r="A119" s="50"/>
    </row>
    <row r="120" ht="12.75">
      <c r="A120" s="50"/>
    </row>
    <row r="121" spans="1:11" s="11" customFormat="1" ht="12.75">
      <c r="A121" s="216" t="s">
        <v>68</v>
      </c>
      <c r="B121" s="45"/>
      <c r="C121" s="46">
        <v>3164228</v>
      </c>
      <c r="D121" s="46">
        <v>3306269</v>
      </c>
      <c r="E121" s="46">
        <v>-9749</v>
      </c>
      <c r="F121" s="46">
        <v>0</v>
      </c>
      <c r="G121" s="46">
        <v>177237</v>
      </c>
      <c r="H121" s="46">
        <v>0</v>
      </c>
      <c r="I121" s="46">
        <v>32490</v>
      </c>
      <c r="J121" s="46">
        <f>SUM(J116)</f>
        <v>62547</v>
      </c>
      <c r="K121" s="46">
        <v>3506247</v>
      </c>
    </row>
    <row r="123" spans="1:11" ht="12.75">
      <c r="A123" s="248" t="s">
        <v>189</v>
      </c>
      <c r="C123" s="16">
        <f>SUM(C116-C121)</f>
        <v>0</v>
      </c>
      <c r="D123" s="16">
        <f aca="true" t="shared" si="22" ref="D123:K123">SUM(D116-D121)</f>
        <v>0</v>
      </c>
      <c r="E123" s="16">
        <f t="shared" si="22"/>
        <v>0</v>
      </c>
      <c r="F123" s="16">
        <f t="shared" si="22"/>
        <v>0</v>
      </c>
      <c r="G123" s="16">
        <f t="shared" si="22"/>
        <v>-2863</v>
      </c>
      <c r="H123" s="16">
        <f t="shared" si="22"/>
        <v>0</v>
      </c>
      <c r="I123" s="22">
        <f t="shared" si="22"/>
        <v>256433</v>
      </c>
      <c r="J123" s="22">
        <f t="shared" si="22"/>
        <v>0</v>
      </c>
      <c r="K123" s="16">
        <f t="shared" si="22"/>
        <v>316117</v>
      </c>
    </row>
    <row r="124" ht="12.75">
      <c r="C124" s="16"/>
    </row>
    <row r="125" ht="12.75">
      <c r="A125" s="12" t="s">
        <v>196</v>
      </c>
    </row>
  </sheetData>
  <sheetProtection/>
  <printOptions/>
  <pageMargins left="0.75" right="0.75" top="1" bottom="1" header="0.5" footer="0.5"/>
  <pageSetup fitToHeight="2" horizontalDpi="600" verticalDpi="600" orientation="landscape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125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6384"/>
    </sheetView>
  </sheetViews>
  <sheetFormatPr defaultColWidth="9.140625" defaultRowHeight="12.75"/>
  <cols>
    <col min="1" max="1" width="51.140625" style="12" customWidth="1"/>
    <col min="2" max="2" width="56.7109375" style="27" customWidth="1"/>
    <col min="3" max="3" width="12.421875" style="27" customWidth="1"/>
    <col min="4" max="4" width="14.57421875" style="27" customWidth="1"/>
    <col min="5" max="5" width="15.8515625" style="27" customWidth="1"/>
    <col min="6" max="6" width="15.421875" style="27" customWidth="1"/>
    <col min="7" max="7" width="14.8515625" style="27" customWidth="1"/>
    <col min="8" max="8" width="15.421875" style="27" customWidth="1"/>
    <col min="9" max="9" width="14.140625" style="21" customWidth="1"/>
    <col min="10" max="10" width="14.28125" style="21" customWidth="1"/>
    <col min="11" max="11" width="11.57421875" style="16" customWidth="1"/>
    <col min="12" max="12" width="3.7109375" style="27" customWidth="1"/>
    <col min="13" max="13" width="9.140625" style="27" customWidth="1"/>
    <col min="14" max="14" width="9.7109375" style="27" bestFit="1" customWidth="1"/>
    <col min="15" max="16384" width="9.140625" style="27" customWidth="1"/>
  </cols>
  <sheetData>
    <row r="2" spans="4:10" ht="12.75">
      <c r="D2" s="227"/>
      <c r="H2" s="227"/>
      <c r="J2" s="249"/>
    </row>
    <row r="3" spans="4:10" ht="12.75">
      <c r="D3" s="227"/>
      <c r="E3" s="69"/>
      <c r="H3" s="227"/>
      <c r="J3" s="249"/>
    </row>
    <row r="4" spans="4:10" ht="13.5" thickBot="1">
      <c r="D4" s="227"/>
      <c r="E4" s="112"/>
      <c r="G4" s="227"/>
      <c r="H4" s="227"/>
      <c r="I4" s="249"/>
      <c r="J4" s="249"/>
    </row>
    <row r="5" spans="1:12" ht="51" customHeight="1" thickBot="1">
      <c r="A5" s="48" t="s">
        <v>165</v>
      </c>
      <c r="B5" s="47" t="s">
        <v>166</v>
      </c>
      <c r="C5" s="53" t="s">
        <v>50</v>
      </c>
      <c r="D5" s="55" t="s">
        <v>51</v>
      </c>
      <c r="E5" s="53" t="s">
        <v>52</v>
      </c>
      <c r="F5" s="54" t="s">
        <v>53</v>
      </c>
      <c r="G5" s="54" t="s">
        <v>54</v>
      </c>
      <c r="H5" s="54" t="s">
        <v>55</v>
      </c>
      <c r="I5" s="54" t="s">
        <v>56</v>
      </c>
      <c r="J5" s="54" t="s">
        <v>57</v>
      </c>
      <c r="K5" s="219" t="s">
        <v>58</v>
      </c>
      <c r="L5" s="28"/>
    </row>
    <row r="6" spans="1:11" ht="12.75">
      <c r="A6" s="244"/>
      <c r="B6" s="29"/>
      <c r="C6" s="30"/>
      <c r="D6" s="29"/>
      <c r="E6" s="31"/>
      <c r="F6" s="30"/>
      <c r="G6" s="31"/>
      <c r="H6" s="30"/>
      <c r="I6" s="93"/>
      <c r="J6" s="122"/>
      <c r="K6" s="25"/>
    </row>
    <row r="7" spans="1:11" ht="12.75">
      <c r="A7" s="50"/>
      <c r="B7" s="32"/>
      <c r="C7" s="33"/>
      <c r="D7" s="29"/>
      <c r="E7" s="31"/>
      <c r="F7" s="33"/>
      <c r="G7" s="31"/>
      <c r="H7" s="33"/>
      <c r="I7" s="93"/>
      <c r="J7" s="123"/>
      <c r="K7" s="25"/>
    </row>
    <row r="8" spans="1:11" ht="12.75">
      <c r="A8" s="50" t="s">
        <v>63</v>
      </c>
      <c r="B8" s="7" t="s">
        <v>12</v>
      </c>
      <c r="C8" s="24">
        <v>105946</v>
      </c>
      <c r="D8" s="25">
        <v>105946</v>
      </c>
      <c r="E8" s="26">
        <v>-312</v>
      </c>
      <c r="F8" s="24">
        <v>0</v>
      </c>
      <c r="G8" s="26">
        <v>0</v>
      </c>
      <c r="H8" s="24">
        <v>0</v>
      </c>
      <c r="I8" s="94">
        <v>0</v>
      </c>
      <c r="J8" s="116">
        <f>SUM('FY 09-11 DD 1416 Tracker-Total'!AU14)</f>
        <v>-512</v>
      </c>
      <c r="K8" s="25">
        <f>SUM(D8:J8)</f>
        <v>105122</v>
      </c>
    </row>
    <row r="9" spans="1:11" s="11" customFormat="1" ht="12.75">
      <c r="A9" s="257"/>
      <c r="B9" s="258" t="s">
        <v>113</v>
      </c>
      <c r="C9" s="260">
        <f aca="true" t="shared" si="0" ref="C9:I9">SUM(C8)</f>
        <v>105946</v>
      </c>
      <c r="D9" s="260">
        <f t="shared" si="0"/>
        <v>105946</v>
      </c>
      <c r="E9" s="260">
        <f t="shared" si="0"/>
        <v>-312</v>
      </c>
      <c r="F9" s="260">
        <f t="shared" si="0"/>
        <v>0</v>
      </c>
      <c r="G9" s="260">
        <f t="shared" si="0"/>
        <v>0</v>
      </c>
      <c r="H9" s="260">
        <f t="shared" si="0"/>
        <v>0</v>
      </c>
      <c r="I9" s="260">
        <f t="shared" si="0"/>
        <v>0</v>
      </c>
      <c r="J9" s="260">
        <f>SUM(J8:J8)</f>
        <v>-512</v>
      </c>
      <c r="K9" s="260">
        <f>SUM(K8:K8)</f>
        <v>105122</v>
      </c>
    </row>
    <row r="10" spans="1:11" ht="12.75">
      <c r="A10" s="50"/>
      <c r="B10" s="23"/>
      <c r="C10" s="24"/>
      <c r="D10" s="25"/>
      <c r="E10" s="26"/>
      <c r="F10" s="24"/>
      <c r="G10" s="26"/>
      <c r="H10" s="24"/>
      <c r="I10" s="94"/>
      <c r="J10" s="116"/>
      <c r="K10" s="25"/>
    </row>
    <row r="11" spans="1:11" ht="12.75">
      <c r="A11" s="50" t="s">
        <v>65</v>
      </c>
      <c r="B11" t="s">
        <v>116</v>
      </c>
      <c r="C11" s="24">
        <f>SUM('FY 09-11 DD 1416 Tracker-Total'!P18)</f>
        <v>0</v>
      </c>
      <c r="D11" s="25">
        <f>SUM('FY 09-11 DD 1416 Tracker-Total'!J18)</f>
        <v>0</v>
      </c>
      <c r="E11" s="26">
        <f>SUM('FY 09-11 DD 1416 Tracker-Total'!M18)</f>
        <v>0</v>
      </c>
      <c r="F11" s="24">
        <v>0</v>
      </c>
      <c r="G11" s="26">
        <v>0</v>
      </c>
      <c r="H11" s="24">
        <v>0</v>
      </c>
      <c r="I11" s="94">
        <v>0</v>
      </c>
      <c r="J11" s="116">
        <v>0</v>
      </c>
      <c r="K11" s="59">
        <f>SUM(D11:J11)</f>
        <v>0</v>
      </c>
    </row>
    <row r="12" spans="1:11" ht="12.75">
      <c r="A12" s="50"/>
      <c r="B12" t="s">
        <v>12</v>
      </c>
      <c r="C12" s="24">
        <v>26649</v>
      </c>
      <c r="D12" s="25">
        <v>26649</v>
      </c>
      <c r="E12" s="26">
        <v>-79</v>
      </c>
      <c r="F12" s="24">
        <v>0</v>
      </c>
      <c r="G12" s="26">
        <v>0</v>
      </c>
      <c r="H12" s="24">
        <v>0</v>
      </c>
      <c r="I12" s="94">
        <v>0</v>
      </c>
      <c r="J12" s="116">
        <v>0</v>
      </c>
      <c r="K12" s="59">
        <f>SUM(D12:J12)</f>
        <v>26570</v>
      </c>
    </row>
    <row r="13" spans="1:11" s="11" customFormat="1" ht="12.75">
      <c r="A13" s="257"/>
      <c r="B13" s="259" t="s">
        <v>49</v>
      </c>
      <c r="C13" s="260">
        <f>SUM(C11:C12)</f>
        <v>26649</v>
      </c>
      <c r="D13" s="260">
        <f aca="true" t="shared" si="1" ref="D13:K13">SUM(D11:D12)</f>
        <v>26649</v>
      </c>
      <c r="E13" s="260">
        <f t="shared" si="1"/>
        <v>-79</v>
      </c>
      <c r="F13" s="260">
        <f t="shared" si="1"/>
        <v>0</v>
      </c>
      <c r="G13" s="260">
        <f t="shared" si="1"/>
        <v>0</v>
      </c>
      <c r="H13" s="260">
        <f t="shared" si="1"/>
        <v>0</v>
      </c>
      <c r="I13" s="260">
        <f t="shared" si="1"/>
        <v>0</v>
      </c>
      <c r="J13" s="260">
        <f t="shared" si="1"/>
        <v>0</v>
      </c>
      <c r="K13" s="260">
        <f t="shared" si="1"/>
        <v>26570</v>
      </c>
    </row>
    <row r="14" spans="1:11" ht="12.75">
      <c r="A14" s="50"/>
      <c r="B14" s="23"/>
      <c r="C14" s="24"/>
      <c r="D14" s="25"/>
      <c r="E14" s="26"/>
      <c r="F14" s="24"/>
      <c r="G14" s="26"/>
      <c r="H14" s="24"/>
      <c r="I14" s="94"/>
      <c r="J14" s="116"/>
      <c r="K14" s="25"/>
    </row>
    <row r="15" spans="1:11" ht="12.75">
      <c r="A15" s="50" t="s">
        <v>167</v>
      </c>
      <c r="B15" s="3" t="s">
        <v>6</v>
      </c>
      <c r="C15" s="24">
        <v>54934</v>
      </c>
      <c r="D15" s="25">
        <v>48734</v>
      </c>
      <c r="E15" s="26">
        <v>-144</v>
      </c>
      <c r="F15" s="24">
        <v>0</v>
      </c>
      <c r="G15" s="24">
        <v>0</v>
      </c>
      <c r="H15" s="24">
        <v>0</v>
      </c>
      <c r="I15" s="24">
        <v>0</v>
      </c>
      <c r="J15" s="24">
        <v>-1236</v>
      </c>
      <c r="K15" s="59">
        <f>SUM(D15:J15)</f>
        <v>47354</v>
      </c>
    </row>
    <row r="16" spans="1:11" ht="12.75">
      <c r="A16" s="50"/>
      <c r="B16" s="3" t="s">
        <v>248</v>
      </c>
      <c r="C16" s="24">
        <v>10973</v>
      </c>
      <c r="D16" s="25">
        <v>10973</v>
      </c>
      <c r="E16" s="26">
        <v>-32</v>
      </c>
      <c r="F16" s="24">
        <v>0</v>
      </c>
      <c r="G16" s="24">
        <v>0</v>
      </c>
      <c r="H16" s="24">
        <v>0</v>
      </c>
      <c r="I16" s="24">
        <v>0</v>
      </c>
      <c r="J16" s="24">
        <f>-500+-200</f>
        <v>-700</v>
      </c>
      <c r="K16" s="59">
        <f aca="true" t="shared" si="2" ref="K16:K25">SUM(D16:J16)</f>
        <v>10241</v>
      </c>
    </row>
    <row r="17" spans="1:11" ht="12.75">
      <c r="A17" s="50"/>
      <c r="B17" s="3" t="s">
        <v>7</v>
      </c>
      <c r="C17" s="24">
        <v>2788</v>
      </c>
      <c r="D17" s="25">
        <v>2788</v>
      </c>
      <c r="E17" s="26">
        <v>-8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59">
        <f t="shared" si="2"/>
        <v>2780</v>
      </c>
    </row>
    <row r="18" spans="1:11" ht="12.75">
      <c r="A18" s="50"/>
      <c r="B18" s="3" t="s">
        <v>8</v>
      </c>
      <c r="C18" s="24">
        <v>15062</v>
      </c>
      <c r="D18" s="25">
        <v>15062</v>
      </c>
      <c r="E18" s="26">
        <v>-44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59">
        <f t="shared" si="2"/>
        <v>15018</v>
      </c>
    </row>
    <row r="19" spans="1:11" ht="12.75">
      <c r="A19" s="50"/>
      <c r="B19" s="3" t="s">
        <v>9</v>
      </c>
      <c r="C19" s="24">
        <v>121296</v>
      </c>
      <c r="D19" s="25">
        <v>111296</v>
      </c>
      <c r="E19" s="26">
        <v>-328</v>
      </c>
      <c r="F19" s="24">
        <v>0</v>
      </c>
      <c r="G19" s="24">
        <v>0</v>
      </c>
      <c r="H19" s="24">
        <v>0</v>
      </c>
      <c r="I19" s="24">
        <v>0</v>
      </c>
      <c r="J19" s="24">
        <f>3200+200</f>
        <v>3400</v>
      </c>
      <c r="K19" s="59">
        <f t="shared" si="2"/>
        <v>114368</v>
      </c>
    </row>
    <row r="20" spans="1:11" ht="12.75">
      <c r="A20" s="50"/>
      <c r="B20" s="3" t="s">
        <v>10</v>
      </c>
      <c r="C20" s="24">
        <v>36765</v>
      </c>
      <c r="D20" s="25">
        <v>36765</v>
      </c>
      <c r="E20" s="26">
        <v>-108</v>
      </c>
      <c r="F20" s="24">
        <v>0</v>
      </c>
      <c r="G20" s="24">
        <v>0</v>
      </c>
      <c r="H20" s="24">
        <v>0</v>
      </c>
      <c r="I20" s="24">
        <v>0</v>
      </c>
      <c r="J20" s="24">
        <v>-2700</v>
      </c>
      <c r="K20" s="59">
        <f t="shared" si="2"/>
        <v>33957</v>
      </c>
    </row>
    <row r="21" spans="1:11" ht="12.75">
      <c r="A21" s="50"/>
      <c r="B21" s="3" t="s">
        <v>197</v>
      </c>
      <c r="C21" s="24">
        <v>90328</v>
      </c>
      <c r="D21" s="25">
        <v>90328</v>
      </c>
      <c r="E21" s="26">
        <v>-266</v>
      </c>
      <c r="F21" s="24">
        <v>0</v>
      </c>
      <c r="G21" s="24">
        <v>0</v>
      </c>
      <c r="H21" s="24">
        <v>0</v>
      </c>
      <c r="I21" s="24">
        <v>0</v>
      </c>
      <c r="J21" s="24">
        <v>1236</v>
      </c>
      <c r="K21" s="59">
        <f t="shared" si="2"/>
        <v>91298</v>
      </c>
    </row>
    <row r="22" spans="1:11" ht="12.75">
      <c r="A22" s="50"/>
      <c r="B22" s="3" t="s">
        <v>203</v>
      </c>
      <c r="C22" s="24">
        <v>1895</v>
      </c>
      <c r="D22" s="25">
        <v>1894</v>
      </c>
      <c r="E22" s="26">
        <v>-6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59">
        <f t="shared" si="2"/>
        <v>1888</v>
      </c>
    </row>
    <row r="23" spans="1:11" ht="12.75">
      <c r="A23" s="50"/>
      <c r="B23" s="117" t="s">
        <v>184</v>
      </c>
      <c r="C23" s="24">
        <v>0</v>
      </c>
      <c r="D23" s="25">
        <v>0</v>
      </c>
      <c r="E23" s="26">
        <v>0</v>
      </c>
      <c r="F23" s="24">
        <v>0</v>
      </c>
      <c r="G23" s="24">
        <v>0</v>
      </c>
      <c r="H23" s="24">
        <v>0</v>
      </c>
      <c r="I23" s="24">
        <v>659</v>
      </c>
      <c r="J23" s="24">
        <v>0</v>
      </c>
      <c r="K23" s="59">
        <f t="shared" si="2"/>
        <v>659</v>
      </c>
    </row>
    <row r="24" spans="1:11" ht="12.75">
      <c r="A24" s="50"/>
      <c r="B24" s="117" t="s">
        <v>212</v>
      </c>
      <c r="C24" s="24">
        <v>7952</v>
      </c>
      <c r="D24" s="25">
        <v>4000</v>
      </c>
      <c r="E24" s="26">
        <v>-12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59">
        <f t="shared" si="2"/>
        <v>3988</v>
      </c>
    </row>
    <row r="25" spans="1:11" ht="12.75">
      <c r="A25" s="50"/>
      <c r="B25" s="117" t="s">
        <v>213</v>
      </c>
      <c r="C25" s="24">
        <v>19100</v>
      </c>
      <c r="D25" s="25">
        <v>19100</v>
      </c>
      <c r="E25" s="26">
        <v>-56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59">
        <f t="shared" si="2"/>
        <v>19044</v>
      </c>
    </row>
    <row r="26" spans="1:11" s="11" customFormat="1" ht="12.75">
      <c r="A26" s="257"/>
      <c r="B26" s="259" t="s">
        <v>67</v>
      </c>
      <c r="C26" s="260">
        <f>SUM(C15:C25)-1</f>
        <v>361092</v>
      </c>
      <c r="D26" s="260">
        <f aca="true" t="shared" si="3" ref="D26:K26">SUM(D15:D25)</f>
        <v>340940</v>
      </c>
      <c r="E26" s="261">
        <f t="shared" si="3"/>
        <v>-1004</v>
      </c>
      <c r="F26" s="260">
        <f t="shared" si="3"/>
        <v>0</v>
      </c>
      <c r="G26" s="262">
        <f t="shared" si="3"/>
        <v>0</v>
      </c>
      <c r="H26" s="260">
        <f t="shared" si="3"/>
        <v>0</v>
      </c>
      <c r="I26" s="260">
        <f t="shared" si="3"/>
        <v>659</v>
      </c>
      <c r="J26" s="260">
        <f t="shared" si="3"/>
        <v>0</v>
      </c>
      <c r="K26" s="260">
        <f t="shared" si="3"/>
        <v>340595</v>
      </c>
    </row>
    <row r="27" spans="1:11" ht="12.75">
      <c r="A27" s="50"/>
      <c r="B27" s="23"/>
      <c r="C27" s="24"/>
      <c r="D27" s="25"/>
      <c r="E27" s="26"/>
      <c r="F27" s="24"/>
      <c r="G27" s="26"/>
      <c r="H27" s="24"/>
      <c r="I27" s="94"/>
      <c r="J27" s="116"/>
      <c r="K27" s="25"/>
    </row>
    <row r="28" spans="1:11" ht="12.75">
      <c r="A28" s="50" t="s">
        <v>61</v>
      </c>
      <c r="B28" t="s">
        <v>12</v>
      </c>
      <c r="C28" s="24">
        <v>8789</v>
      </c>
      <c r="D28" s="25">
        <v>8789</v>
      </c>
      <c r="E28" s="26">
        <v>-26</v>
      </c>
      <c r="F28" s="24">
        <v>0</v>
      </c>
      <c r="G28" s="26">
        <v>0</v>
      </c>
      <c r="H28" s="24">
        <v>0</v>
      </c>
      <c r="I28" s="94">
        <v>0</v>
      </c>
      <c r="J28" s="116">
        <v>0</v>
      </c>
      <c r="K28" s="59">
        <f>SUM(D28:J28)</f>
        <v>8763</v>
      </c>
    </row>
    <row r="29" spans="1:11" ht="12.75">
      <c r="A29" s="257"/>
      <c r="B29" s="259" t="s">
        <v>117</v>
      </c>
      <c r="C29" s="260">
        <f>SUM(C28)</f>
        <v>8789</v>
      </c>
      <c r="D29" s="260">
        <f aca="true" t="shared" si="4" ref="D29:K29">SUM(D28)</f>
        <v>8789</v>
      </c>
      <c r="E29" s="260">
        <f t="shared" si="4"/>
        <v>-26</v>
      </c>
      <c r="F29" s="260">
        <f t="shared" si="4"/>
        <v>0</v>
      </c>
      <c r="G29" s="260">
        <f t="shared" si="4"/>
        <v>0</v>
      </c>
      <c r="H29" s="260">
        <f t="shared" si="4"/>
        <v>0</v>
      </c>
      <c r="I29" s="260">
        <f t="shared" si="4"/>
        <v>0</v>
      </c>
      <c r="J29" s="260">
        <f t="shared" si="4"/>
        <v>0</v>
      </c>
      <c r="K29" s="260">
        <f t="shared" si="4"/>
        <v>8763</v>
      </c>
    </row>
    <row r="30" spans="1:11" ht="12.75">
      <c r="A30" s="50"/>
      <c r="B30" s="34"/>
      <c r="C30" s="24"/>
      <c r="D30" s="25"/>
      <c r="E30" s="26"/>
      <c r="F30" s="24"/>
      <c r="G30" s="26"/>
      <c r="H30" s="24"/>
      <c r="I30" s="94"/>
      <c r="J30" s="116"/>
      <c r="K30" s="25"/>
    </row>
    <row r="31" spans="1:11" ht="12.75">
      <c r="A31" s="50" t="s">
        <v>60</v>
      </c>
      <c r="B31" t="s">
        <v>118</v>
      </c>
      <c r="C31" s="24">
        <v>1523</v>
      </c>
      <c r="D31" s="25">
        <v>3923</v>
      </c>
      <c r="E31" s="26">
        <v>-12</v>
      </c>
      <c r="F31" s="24">
        <v>0</v>
      </c>
      <c r="G31" s="26">
        <v>0</v>
      </c>
      <c r="H31" s="24">
        <v>0</v>
      </c>
      <c r="I31" s="94">
        <v>0</v>
      </c>
      <c r="J31" s="116">
        <v>0</v>
      </c>
      <c r="K31" s="59">
        <f>SUM(D31:J31)</f>
        <v>3911</v>
      </c>
    </row>
    <row r="32" spans="1:11" s="11" customFormat="1" ht="12.75">
      <c r="A32" s="257"/>
      <c r="B32" s="259" t="s">
        <v>119</v>
      </c>
      <c r="C32" s="260">
        <f>SUM(C31)</f>
        <v>1523</v>
      </c>
      <c r="D32" s="260">
        <f aca="true" t="shared" si="5" ref="D32:K32">SUM(D31)</f>
        <v>3923</v>
      </c>
      <c r="E32" s="260">
        <f t="shared" si="5"/>
        <v>-12</v>
      </c>
      <c r="F32" s="260">
        <f t="shared" si="5"/>
        <v>0</v>
      </c>
      <c r="G32" s="260">
        <f t="shared" si="5"/>
        <v>0</v>
      </c>
      <c r="H32" s="260">
        <f t="shared" si="5"/>
        <v>0</v>
      </c>
      <c r="I32" s="260">
        <f t="shared" si="5"/>
        <v>0</v>
      </c>
      <c r="J32" s="260">
        <f t="shared" si="5"/>
        <v>0</v>
      </c>
      <c r="K32" s="260">
        <f t="shared" si="5"/>
        <v>3911</v>
      </c>
    </row>
    <row r="33" spans="1:11" ht="12.75">
      <c r="A33" s="50"/>
      <c r="B33" s="34"/>
      <c r="C33" s="24"/>
      <c r="D33" s="25"/>
      <c r="E33" s="26"/>
      <c r="F33" s="24"/>
      <c r="G33" s="26"/>
      <c r="H33" s="24"/>
      <c r="I33" s="94"/>
      <c r="J33" s="116"/>
      <c r="K33" s="25"/>
    </row>
    <row r="34" spans="1:11" ht="12.75">
      <c r="A34" s="50" t="s">
        <v>64</v>
      </c>
      <c r="B34" t="s">
        <v>12</v>
      </c>
      <c r="C34" s="24">
        <v>25897</v>
      </c>
      <c r="D34" s="25">
        <v>25897</v>
      </c>
      <c r="E34" s="26">
        <v>-86</v>
      </c>
      <c r="F34" s="24">
        <v>0</v>
      </c>
      <c r="G34" s="26">
        <v>0</v>
      </c>
      <c r="H34" s="24">
        <v>0</v>
      </c>
      <c r="I34" s="94">
        <v>-276</v>
      </c>
      <c r="J34" s="116">
        <v>0</v>
      </c>
      <c r="K34" s="59">
        <f>SUM(D34:J34)+2-1</f>
        <v>25536</v>
      </c>
    </row>
    <row r="35" spans="1:11" s="11" customFormat="1" ht="12.75">
      <c r="A35" s="257"/>
      <c r="B35" s="259" t="s">
        <v>121</v>
      </c>
      <c r="C35" s="260">
        <f>SUM(C34)</f>
        <v>25897</v>
      </c>
      <c r="D35" s="260">
        <f aca="true" t="shared" si="6" ref="D35:K35">SUM(D34)</f>
        <v>25897</v>
      </c>
      <c r="E35" s="260">
        <f t="shared" si="6"/>
        <v>-86</v>
      </c>
      <c r="F35" s="260">
        <f t="shared" si="6"/>
        <v>0</v>
      </c>
      <c r="G35" s="260">
        <f t="shared" si="6"/>
        <v>0</v>
      </c>
      <c r="H35" s="260">
        <f t="shared" si="6"/>
        <v>0</v>
      </c>
      <c r="I35" s="260">
        <f t="shared" si="6"/>
        <v>-276</v>
      </c>
      <c r="J35" s="260">
        <f t="shared" si="6"/>
        <v>0</v>
      </c>
      <c r="K35" s="260">
        <f t="shared" si="6"/>
        <v>25536</v>
      </c>
    </row>
    <row r="36" spans="1:11" ht="12.75">
      <c r="A36" s="50"/>
      <c r="B36" s="34"/>
      <c r="C36" s="24"/>
      <c r="D36" s="25"/>
      <c r="E36" s="26"/>
      <c r="F36" s="24"/>
      <c r="G36" s="26"/>
      <c r="H36" s="24"/>
      <c r="I36" s="94"/>
      <c r="J36" s="116"/>
      <c r="K36" s="25"/>
    </row>
    <row r="37" spans="1:11" ht="12.75">
      <c r="A37" s="50" t="s">
        <v>168</v>
      </c>
      <c r="B37" t="s">
        <v>15</v>
      </c>
      <c r="C37" s="24">
        <v>19214</v>
      </c>
      <c r="D37" s="25">
        <v>10014</v>
      </c>
      <c r="E37" s="26">
        <v>-30</v>
      </c>
      <c r="F37" s="24">
        <v>0</v>
      </c>
      <c r="G37" s="26">
        <v>0</v>
      </c>
      <c r="H37" s="24">
        <v>0</v>
      </c>
      <c r="I37" s="94">
        <v>0</v>
      </c>
      <c r="J37" s="116">
        <v>0</v>
      </c>
      <c r="K37" s="59">
        <f>SUM(D37:J37)</f>
        <v>9984</v>
      </c>
    </row>
    <row r="38" spans="1:11" s="11" customFormat="1" ht="12.75">
      <c r="A38" s="257"/>
      <c r="B38" s="259" t="s">
        <v>122</v>
      </c>
      <c r="C38" s="260">
        <f>SUM(C37)</f>
        <v>19214</v>
      </c>
      <c r="D38" s="260">
        <f aca="true" t="shared" si="7" ref="D38:K38">SUM(D37)</f>
        <v>10014</v>
      </c>
      <c r="E38" s="260">
        <f t="shared" si="7"/>
        <v>-30</v>
      </c>
      <c r="F38" s="260">
        <f t="shared" si="7"/>
        <v>0</v>
      </c>
      <c r="G38" s="260">
        <f t="shared" si="7"/>
        <v>0</v>
      </c>
      <c r="H38" s="260">
        <f t="shared" si="7"/>
        <v>0</v>
      </c>
      <c r="I38" s="260">
        <f t="shared" si="7"/>
        <v>0</v>
      </c>
      <c r="J38" s="260">
        <f t="shared" si="7"/>
        <v>0</v>
      </c>
      <c r="K38" s="260">
        <f t="shared" si="7"/>
        <v>9984</v>
      </c>
    </row>
    <row r="39" spans="1:11" ht="12.75">
      <c r="A39" s="50"/>
      <c r="B39" s="35"/>
      <c r="C39" s="24"/>
      <c r="D39" s="25"/>
      <c r="E39" s="26"/>
      <c r="F39" s="24"/>
      <c r="G39" s="26"/>
      <c r="H39" s="24"/>
      <c r="I39" s="94"/>
      <c r="J39" s="116"/>
      <c r="K39" s="25"/>
    </row>
    <row r="40" spans="1:11" ht="12.75">
      <c r="A40" s="50" t="s">
        <v>62</v>
      </c>
      <c r="B40" t="s">
        <v>17</v>
      </c>
      <c r="C40" s="24">
        <v>5621</v>
      </c>
      <c r="D40" s="25">
        <v>8821</v>
      </c>
      <c r="E40" s="26">
        <v>-17</v>
      </c>
      <c r="F40" s="24">
        <v>0</v>
      </c>
      <c r="G40" s="26">
        <v>0</v>
      </c>
      <c r="H40" s="24">
        <v>0</v>
      </c>
      <c r="I40" s="94">
        <v>0</v>
      </c>
      <c r="J40" s="116">
        <v>0</v>
      </c>
      <c r="K40" s="59">
        <f>SUM(D40:J40)</f>
        <v>8804</v>
      </c>
    </row>
    <row r="41" spans="1:11" s="11" customFormat="1" ht="12.75">
      <c r="A41" s="257"/>
      <c r="B41" s="259" t="s">
        <v>66</v>
      </c>
      <c r="C41" s="260">
        <f>SUM(C40)</f>
        <v>5621</v>
      </c>
      <c r="D41" s="260">
        <f aca="true" t="shared" si="8" ref="D41:K41">SUM(D40)</f>
        <v>8821</v>
      </c>
      <c r="E41" s="260">
        <f t="shared" si="8"/>
        <v>-17</v>
      </c>
      <c r="F41" s="260">
        <f t="shared" si="8"/>
        <v>0</v>
      </c>
      <c r="G41" s="260">
        <f t="shared" si="8"/>
        <v>0</v>
      </c>
      <c r="H41" s="260">
        <f t="shared" si="8"/>
        <v>0</v>
      </c>
      <c r="I41" s="260">
        <f t="shared" si="8"/>
        <v>0</v>
      </c>
      <c r="J41" s="260">
        <f t="shared" si="8"/>
        <v>0</v>
      </c>
      <c r="K41" s="260">
        <f t="shared" si="8"/>
        <v>8804</v>
      </c>
    </row>
    <row r="42" spans="1:11" ht="12.75">
      <c r="A42" s="50"/>
      <c r="B42" s="23"/>
      <c r="C42" s="24"/>
      <c r="D42" s="25"/>
      <c r="E42" s="26"/>
      <c r="F42" s="24"/>
      <c r="G42" s="26"/>
      <c r="H42" s="24"/>
      <c r="I42" s="94"/>
      <c r="J42" s="116"/>
      <c r="K42" s="25"/>
    </row>
    <row r="43" spans="1:11" ht="12.75">
      <c r="A43" s="50" t="s">
        <v>169</v>
      </c>
      <c r="B43" t="s">
        <v>12</v>
      </c>
      <c r="C43" s="24">
        <v>11158</v>
      </c>
      <c r="D43" s="25">
        <v>11158</v>
      </c>
      <c r="E43" s="26">
        <v>-33</v>
      </c>
      <c r="F43" s="24">
        <v>0</v>
      </c>
      <c r="G43" s="26">
        <v>0</v>
      </c>
      <c r="H43" s="24">
        <v>0</v>
      </c>
      <c r="I43" s="94">
        <v>0</v>
      </c>
      <c r="J43" s="116">
        <v>0</v>
      </c>
      <c r="K43" s="59">
        <f>SUM(D43:J43)</f>
        <v>11125</v>
      </c>
    </row>
    <row r="44" spans="1:11" s="11" customFormat="1" ht="12.75">
      <c r="A44" s="257"/>
      <c r="B44" s="259" t="s">
        <v>123</v>
      </c>
      <c r="C44" s="260">
        <f>SUM(C43)</f>
        <v>11158</v>
      </c>
      <c r="D44" s="260">
        <f aca="true" t="shared" si="9" ref="D44:K44">SUM(D43)</f>
        <v>11158</v>
      </c>
      <c r="E44" s="260">
        <f t="shared" si="9"/>
        <v>-33</v>
      </c>
      <c r="F44" s="260">
        <f t="shared" si="9"/>
        <v>0</v>
      </c>
      <c r="G44" s="260">
        <f t="shared" si="9"/>
        <v>0</v>
      </c>
      <c r="H44" s="260">
        <f t="shared" si="9"/>
        <v>0</v>
      </c>
      <c r="I44" s="260">
        <f t="shared" si="9"/>
        <v>0</v>
      </c>
      <c r="J44" s="260">
        <f t="shared" si="9"/>
        <v>0</v>
      </c>
      <c r="K44" s="260">
        <f t="shared" si="9"/>
        <v>11125</v>
      </c>
    </row>
    <row r="45" spans="1:11" ht="12.75">
      <c r="A45" s="50"/>
      <c r="B45" s="23"/>
      <c r="C45" s="24"/>
      <c r="D45" s="25"/>
      <c r="E45" s="26"/>
      <c r="F45" s="24"/>
      <c r="G45" s="26"/>
      <c r="H45" s="24"/>
      <c r="I45" s="94"/>
      <c r="J45" s="116"/>
      <c r="K45" s="25"/>
    </row>
    <row r="46" spans="1:11" ht="12.75">
      <c r="A46" s="50" t="s">
        <v>170</v>
      </c>
      <c r="B46" t="s">
        <v>124</v>
      </c>
      <c r="C46" s="24">
        <v>1498</v>
      </c>
      <c r="D46" s="25">
        <v>1498</v>
      </c>
      <c r="E46" s="26">
        <v>-4</v>
      </c>
      <c r="F46" s="24">
        <v>0</v>
      </c>
      <c r="G46" s="26">
        <v>0</v>
      </c>
      <c r="H46" s="24">
        <v>0</v>
      </c>
      <c r="I46" s="94">
        <v>0</v>
      </c>
      <c r="J46" s="116">
        <v>0</v>
      </c>
      <c r="K46" s="59">
        <f>SUM(D46:J46)</f>
        <v>1494</v>
      </c>
    </row>
    <row r="47" spans="1:11" s="11" customFormat="1" ht="12.75">
      <c r="A47" s="257"/>
      <c r="B47" s="259" t="s">
        <v>125</v>
      </c>
      <c r="C47" s="260">
        <f>SUM(C46)</f>
        <v>1498</v>
      </c>
      <c r="D47" s="260">
        <f aca="true" t="shared" si="10" ref="D47:K47">SUM(D46)</f>
        <v>1498</v>
      </c>
      <c r="E47" s="260">
        <f t="shared" si="10"/>
        <v>-4</v>
      </c>
      <c r="F47" s="260">
        <f t="shared" si="10"/>
        <v>0</v>
      </c>
      <c r="G47" s="260">
        <f t="shared" si="10"/>
        <v>0</v>
      </c>
      <c r="H47" s="260">
        <f t="shared" si="10"/>
        <v>0</v>
      </c>
      <c r="I47" s="260">
        <f t="shared" si="10"/>
        <v>0</v>
      </c>
      <c r="J47" s="260">
        <f t="shared" si="10"/>
        <v>0</v>
      </c>
      <c r="K47" s="260">
        <f t="shared" si="10"/>
        <v>1494</v>
      </c>
    </row>
    <row r="48" spans="1:11" ht="12.75">
      <c r="A48" s="50"/>
      <c r="B48" s="34"/>
      <c r="C48" s="24"/>
      <c r="D48" s="25"/>
      <c r="E48" s="26"/>
      <c r="F48" s="24"/>
      <c r="G48" s="26"/>
      <c r="H48" s="24"/>
      <c r="I48" s="94"/>
      <c r="J48" s="116"/>
      <c r="K48" s="25"/>
    </row>
    <row r="49" spans="1:11" ht="12.75">
      <c r="A49" s="50" t="s">
        <v>171</v>
      </c>
      <c r="B49" t="s">
        <v>12</v>
      </c>
      <c r="C49" s="24">
        <v>2149</v>
      </c>
      <c r="D49" s="25">
        <v>2149</v>
      </c>
      <c r="E49" s="26">
        <v>-6</v>
      </c>
      <c r="F49" s="24">
        <v>0</v>
      </c>
      <c r="G49" s="26">
        <v>0</v>
      </c>
      <c r="H49" s="24">
        <v>0</v>
      </c>
      <c r="I49" s="94">
        <v>0</v>
      </c>
      <c r="J49" s="116">
        <v>0</v>
      </c>
      <c r="K49" s="59">
        <f>SUM(D49:J49)</f>
        <v>2143</v>
      </c>
    </row>
    <row r="50" spans="1:11" s="11" customFormat="1" ht="12.75">
      <c r="A50" s="257"/>
      <c r="B50" s="259" t="s">
        <v>126</v>
      </c>
      <c r="C50" s="260">
        <f>SUM(C49)</f>
        <v>2149</v>
      </c>
      <c r="D50" s="260">
        <f aca="true" t="shared" si="11" ref="D50:K50">SUM(D49)</f>
        <v>2149</v>
      </c>
      <c r="E50" s="260">
        <f t="shared" si="11"/>
        <v>-6</v>
      </c>
      <c r="F50" s="260">
        <f t="shared" si="11"/>
        <v>0</v>
      </c>
      <c r="G50" s="260">
        <f t="shared" si="11"/>
        <v>0</v>
      </c>
      <c r="H50" s="260">
        <f t="shared" si="11"/>
        <v>0</v>
      </c>
      <c r="I50" s="260">
        <f t="shared" si="11"/>
        <v>0</v>
      </c>
      <c r="J50" s="260">
        <f t="shared" si="11"/>
        <v>0</v>
      </c>
      <c r="K50" s="260">
        <f t="shared" si="11"/>
        <v>2143</v>
      </c>
    </row>
    <row r="51" spans="1:11" ht="12.75">
      <c r="A51" s="50"/>
      <c r="B51" s="23"/>
      <c r="C51" s="24"/>
      <c r="D51" s="25"/>
      <c r="E51" s="26"/>
      <c r="F51" s="24"/>
      <c r="G51" s="26"/>
      <c r="H51" s="24"/>
      <c r="I51" s="94"/>
      <c r="J51" s="116"/>
      <c r="K51" s="25"/>
    </row>
    <row r="52" spans="1:11" ht="12.75">
      <c r="A52" s="50" t="s">
        <v>172</v>
      </c>
      <c r="B52" t="s">
        <v>12</v>
      </c>
      <c r="C52" s="24">
        <v>689</v>
      </c>
      <c r="D52" s="25">
        <v>689</v>
      </c>
      <c r="E52" s="26">
        <v>-2</v>
      </c>
      <c r="F52" s="24">
        <v>0</v>
      </c>
      <c r="G52" s="26">
        <v>0</v>
      </c>
      <c r="H52" s="24">
        <v>0</v>
      </c>
      <c r="I52" s="94">
        <v>0</v>
      </c>
      <c r="J52" s="116">
        <v>0</v>
      </c>
      <c r="K52" s="59">
        <f>SUM(D52:J52)</f>
        <v>687</v>
      </c>
    </row>
    <row r="53" spans="1:11" s="11" customFormat="1" ht="12.75">
      <c r="A53" s="257"/>
      <c r="B53" s="259" t="s">
        <v>127</v>
      </c>
      <c r="C53" s="260">
        <f>SUM(C52)</f>
        <v>689</v>
      </c>
      <c r="D53" s="260">
        <f aca="true" t="shared" si="12" ref="D53:K53">SUM(D52)</f>
        <v>689</v>
      </c>
      <c r="E53" s="260">
        <f t="shared" si="12"/>
        <v>-2</v>
      </c>
      <c r="F53" s="260">
        <f t="shared" si="12"/>
        <v>0</v>
      </c>
      <c r="G53" s="260">
        <f t="shared" si="12"/>
        <v>0</v>
      </c>
      <c r="H53" s="260">
        <f t="shared" si="12"/>
        <v>0</v>
      </c>
      <c r="I53" s="260">
        <f t="shared" si="12"/>
        <v>0</v>
      </c>
      <c r="J53" s="260">
        <f t="shared" si="12"/>
        <v>0</v>
      </c>
      <c r="K53" s="260">
        <f t="shared" si="12"/>
        <v>687</v>
      </c>
    </row>
    <row r="54" spans="1:11" s="11" customFormat="1" ht="12.75">
      <c r="A54" s="50"/>
      <c r="C54" s="56"/>
      <c r="D54" s="56"/>
      <c r="E54" s="56"/>
      <c r="F54" s="56"/>
      <c r="G54" s="56"/>
      <c r="H54" s="56"/>
      <c r="I54" s="124"/>
      <c r="J54" s="124"/>
      <c r="K54" s="56"/>
    </row>
    <row r="55" spans="1:11" s="11" customFormat="1" ht="12.75">
      <c r="A55" s="50" t="s">
        <v>205</v>
      </c>
      <c r="B55" s="27" t="s">
        <v>206</v>
      </c>
      <c r="C55" s="24">
        <v>436</v>
      </c>
      <c r="D55" s="25">
        <v>436</v>
      </c>
      <c r="E55" s="26">
        <v>-1</v>
      </c>
      <c r="F55" s="24">
        <v>0</v>
      </c>
      <c r="G55" s="26">
        <v>0</v>
      </c>
      <c r="H55" s="24">
        <v>0</v>
      </c>
      <c r="I55" s="94">
        <v>0</v>
      </c>
      <c r="J55" s="116">
        <v>0</v>
      </c>
      <c r="K55" s="59">
        <f>SUM(D55:J55)</f>
        <v>435</v>
      </c>
    </row>
    <row r="56" spans="1:11" s="11" customFormat="1" ht="12.75">
      <c r="A56" s="257"/>
      <c r="B56" s="259" t="s">
        <v>204</v>
      </c>
      <c r="C56" s="260">
        <f>SUM(C55)</f>
        <v>436</v>
      </c>
      <c r="D56" s="260">
        <f aca="true" t="shared" si="13" ref="D56:K56">SUM(D55)</f>
        <v>436</v>
      </c>
      <c r="E56" s="260">
        <f t="shared" si="13"/>
        <v>-1</v>
      </c>
      <c r="F56" s="260">
        <f t="shared" si="13"/>
        <v>0</v>
      </c>
      <c r="G56" s="260">
        <f t="shared" si="13"/>
        <v>0</v>
      </c>
      <c r="H56" s="260">
        <f t="shared" si="13"/>
        <v>0</v>
      </c>
      <c r="I56" s="260">
        <f t="shared" si="13"/>
        <v>0</v>
      </c>
      <c r="J56" s="260">
        <f t="shared" si="13"/>
        <v>0</v>
      </c>
      <c r="K56" s="260">
        <f t="shared" si="13"/>
        <v>435</v>
      </c>
    </row>
    <row r="57" spans="1:11" s="11" customFormat="1" ht="12.75">
      <c r="A57" s="50"/>
      <c r="C57" s="56"/>
      <c r="D57" s="56"/>
      <c r="E57" s="56"/>
      <c r="F57" s="56"/>
      <c r="G57" s="56"/>
      <c r="H57" s="56"/>
      <c r="I57" s="124"/>
      <c r="J57" s="124"/>
      <c r="K57" s="56"/>
    </row>
    <row r="58" spans="1:11" s="11" customFormat="1" ht="12.75">
      <c r="A58" s="50" t="s">
        <v>179</v>
      </c>
      <c r="B58" s="93" t="s">
        <v>4</v>
      </c>
      <c r="C58" s="116">
        <v>4505</v>
      </c>
      <c r="D58" s="25">
        <v>4505</v>
      </c>
      <c r="E58" s="116">
        <v>-13</v>
      </c>
      <c r="F58" s="116">
        <v>0</v>
      </c>
      <c r="G58" s="26">
        <v>0</v>
      </c>
      <c r="H58" s="116">
        <v>0</v>
      </c>
      <c r="I58" s="94">
        <v>0</v>
      </c>
      <c r="J58" s="116">
        <f>SUM('FY 09-11 DD 1416 Tracker-Total'!AU70)</f>
        <v>0</v>
      </c>
      <c r="K58" s="59">
        <f>SUM(D58:J58)</f>
        <v>4492</v>
      </c>
    </row>
    <row r="59" spans="1:11" s="11" customFormat="1" ht="12.75">
      <c r="A59" s="257"/>
      <c r="B59" s="259" t="s">
        <v>48</v>
      </c>
      <c r="C59" s="260">
        <f aca="true" t="shared" si="14" ref="C59:K59">SUM(C58)</f>
        <v>4505</v>
      </c>
      <c r="D59" s="260">
        <f t="shared" si="14"/>
        <v>4505</v>
      </c>
      <c r="E59" s="260">
        <f t="shared" si="14"/>
        <v>-13</v>
      </c>
      <c r="F59" s="260">
        <f t="shared" si="14"/>
        <v>0</v>
      </c>
      <c r="G59" s="260">
        <f t="shared" si="14"/>
        <v>0</v>
      </c>
      <c r="H59" s="260">
        <f t="shared" si="14"/>
        <v>0</v>
      </c>
      <c r="I59" s="260">
        <f t="shared" si="14"/>
        <v>0</v>
      </c>
      <c r="J59" s="260">
        <f t="shared" si="14"/>
        <v>0</v>
      </c>
      <c r="K59" s="260">
        <f t="shared" si="14"/>
        <v>4492</v>
      </c>
    </row>
    <row r="60" spans="1:11" s="11" customFormat="1" ht="13.5" thickBot="1">
      <c r="A60" s="50"/>
      <c r="C60" s="56"/>
      <c r="D60" s="56"/>
      <c r="E60" s="56"/>
      <c r="F60" s="56"/>
      <c r="G60" s="56"/>
      <c r="H60" s="56"/>
      <c r="I60" s="124"/>
      <c r="J60" s="124"/>
      <c r="K60" s="56"/>
    </row>
    <row r="61" spans="1:11" s="52" customFormat="1" ht="13.5" thickBot="1">
      <c r="A61" s="245"/>
      <c r="B61" s="51" t="s">
        <v>232</v>
      </c>
      <c r="C61" s="38">
        <f>SUM(C9+C13+C26+C29+C32+C35+C38+C41+C44+C47+C50+C53+C56+C59)</f>
        <v>575166</v>
      </c>
      <c r="D61" s="38">
        <f aca="true" t="shared" si="15" ref="D61:K61">SUM(D9+D13+D26+D29+D32+D35+D38+D41+D44+D47+D50+D53+D56+D59)</f>
        <v>551414</v>
      </c>
      <c r="E61" s="38">
        <f t="shared" si="15"/>
        <v>-1625</v>
      </c>
      <c r="F61" s="38">
        <f t="shared" si="15"/>
        <v>0</v>
      </c>
      <c r="G61" s="38">
        <f t="shared" si="15"/>
        <v>0</v>
      </c>
      <c r="H61" s="38">
        <f t="shared" si="15"/>
        <v>0</v>
      </c>
      <c r="I61" s="38">
        <f t="shared" si="15"/>
        <v>383</v>
      </c>
      <c r="J61" s="38">
        <f t="shared" si="15"/>
        <v>-512</v>
      </c>
      <c r="K61" s="38">
        <f t="shared" si="15"/>
        <v>549661</v>
      </c>
    </row>
    <row r="62" spans="1:11" ht="12.75">
      <c r="A62" s="246"/>
      <c r="B62" s="36"/>
      <c r="C62" s="24"/>
      <c r="D62" s="25"/>
      <c r="E62" s="26"/>
      <c r="F62" s="24"/>
      <c r="G62" s="26"/>
      <c r="H62" s="24"/>
      <c r="I62" s="94"/>
      <c r="J62" s="116"/>
      <c r="K62" s="25"/>
    </row>
    <row r="63" spans="1:11" ht="12.75">
      <c r="A63" s="50" t="s">
        <v>174</v>
      </c>
      <c r="B63" s="3" t="s">
        <v>22</v>
      </c>
      <c r="C63" s="24">
        <v>51950</v>
      </c>
      <c r="D63" s="25">
        <v>89350</v>
      </c>
      <c r="E63" s="26">
        <v>-153</v>
      </c>
      <c r="F63" s="24">
        <v>0</v>
      </c>
      <c r="G63" s="26">
        <v>0</v>
      </c>
      <c r="H63" s="24">
        <v>0</v>
      </c>
      <c r="I63" s="94">
        <v>0</v>
      </c>
      <c r="J63" s="116">
        <v>-984</v>
      </c>
      <c r="K63" s="59">
        <f>SUM(D63:J63)</f>
        <v>88213</v>
      </c>
    </row>
    <row r="64" spans="1:11" ht="12.75">
      <c r="A64" s="50"/>
      <c r="B64" s="3" t="s">
        <v>254</v>
      </c>
      <c r="C64" s="24">
        <v>63667</v>
      </c>
      <c r="D64" s="25">
        <v>63667</v>
      </c>
      <c r="E64" s="26">
        <v>-188</v>
      </c>
      <c r="F64" s="24">
        <v>0</v>
      </c>
      <c r="G64" s="26">
        <v>0</v>
      </c>
      <c r="H64" s="24">
        <v>0</v>
      </c>
      <c r="I64" s="94">
        <v>0</v>
      </c>
      <c r="J64" s="116">
        <v>2784</v>
      </c>
      <c r="K64" s="59">
        <f aca="true" t="shared" si="16" ref="K64:K98">SUM(D64:J64)</f>
        <v>66263</v>
      </c>
    </row>
    <row r="65" spans="1:11" ht="12.75">
      <c r="A65" s="50"/>
      <c r="B65" s="3" t="s">
        <v>23</v>
      </c>
      <c r="C65" s="24">
        <v>98163</v>
      </c>
      <c r="D65" s="25">
        <v>98163</v>
      </c>
      <c r="E65" s="26">
        <v>-400</v>
      </c>
      <c r="F65" s="24">
        <v>0</v>
      </c>
      <c r="G65" s="26">
        <v>0</v>
      </c>
      <c r="H65" s="24">
        <v>0</v>
      </c>
      <c r="I65" s="94">
        <v>0</v>
      </c>
      <c r="J65" s="116">
        <v>-1800</v>
      </c>
      <c r="K65" s="59">
        <f t="shared" si="16"/>
        <v>95963</v>
      </c>
    </row>
    <row r="66" spans="1:11" ht="12.75">
      <c r="A66" s="50"/>
      <c r="B66" s="3" t="s">
        <v>133</v>
      </c>
      <c r="C66" s="24">
        <v>39172</v>
      </c>
      <c r="D66" s="25">
        <v>39172</v>
      </c>
      <c r="E66" s="26">
        <v>-116</v>
      </c>
      <c r="F66" s="24">
        <v>0</v>
      </c>
      <c r="G66" s="26">
        <v>0</v>
      </c>
      <c r="H66" s="24">
        <v>0</v>
      </c>
      <c r="I66" s="94">
        <v>0</v>
      </c>
      <c r="J66" s="116">
        <v>10240</v>
      </c>
      <c r="K66" s="59">
        <f t="shared" si="16"/>
        <v>49296</v>
      </c>
    </row>
    <row r="67" spans="1:11" ht="12.75">
      <c r="A67" s="50"/>
      <c r="B67" s="3" t="s">
        <v>134</v>
      </c>
      <c r="C67" s="24">
        <v>36286</v>
      </c>
      <c r="D67" s="25">
        <v>11286</v>
      </c>
      <c r="E67" s="26">
        <v>-33</v>
      </c>
      <c r="F67" s="24">
        <v>0</v>
      </c>
      <c r="G67" s="26">
        <v>0</v>
      </c>
      <c r="H67" s="24">
        <v>0</v>
      </c>
      <c r="I67" s="94">
        <v>0</v>
      </c>
      <c r="J67" s="116">
        <v>0</v>
      </c>
      <c r="K67" s="59">
        <f t="shared" si="16"/>
        <v>11253</v>
      </c>
    </row>
    <row r="68" spans="1:11" ht="12.75">
      <c r="A68" s="50"/>
      <c r="B68" s="3" t="s">
        <v>219</v>
      </c>
      <c r="C68" s="24">
        <v>7659</v>
      </c>
      <c r="D68" s="25">
        <v>7659</v>
      </c>
      <c r="E68" s="26">
        <v>-23</v>
      </c>
      <c r="F68" s="24">
        <v>0</v>
      </c>
      <c r="G68" s="26">
        <v>0</v>
      </c>
      <c r="H68" s="24">
        <v>0</v>
      </c>
      <c r="I68" s="94">
        <v>0</v>
      </c>
      <c r="J68" s="116">
        <v>0</v>
      </c>
      <c r="K68" s="59">
        <f t="shared" si="16"/>
        <v>7636</v>
      </c>
    </row>
    <row r="69" spans="1:11" ht="12.75">
      <c r="A69" s="50"/>
      <c r="B69" s="3" t="s">
        <v>24</v>
      </c>
      <c r="C69" s="24">
        <v>162971</v>
      </c>
      <c r="D69" s="25">
        <v>162971</v>
      </c>
      <c r="E69" s="26">
        <v>-481</v>
      </c>
      <c r="F69" s="24">
        <v>0</v>
      </c>
      <c r="G69" s="26">
        <v>0</v>
      </c>
      <c r="H69" s="24">
        <v>0</v>
      </c>
      <c r="I69" s="94">
        <v>0</v>
      </c>
      <c r="J69" s="116">
        <v>-7460</v>
      </c>
      <c r="K69" s="59">
        <f t="shared" si="16"/>
        <v>155030</v>
      </c>
    </row>
    <row r="70" spans="1:11" ht="12.75">
      <c r="A70" s="50"/>
      <c r="B70" s="3" t="s">
        <v>25</v>
      </c>
      <c r="C70" s="24">
        <v>47018</v>
      </c>
      <c r="D70" s="25">
        <v>33277</v>
      </c>
      <c r="E70" s="26">
        <v>-98</v>
      </c>
      <c r="F70" s="24">
        <v>0</v>
      </c>
      <c r="G70" s="26">
        <v>17000</v>
      </c>
      <c r="H70" s="24">
        <v>0</v>
      </c>
      <c r="I70" s="94">
        <v>0</v>
      </c>
      <c r="J70" s="116">
        <v>-1892</v>
      </c>
      <c r="K70" s="59">
        <f t="shared" si="16"/>
        <v>48287</v>
      </c>
    </row>
    <row r="71" spans="1:11" ht="12.75">
      <c r="A71" s="50"/>
      <c r="B71" s="3" t="s">
        <v>26</v>
      </c>
      <c r="C71" s="24">
        <v>1347</v>
      </c>
      <c r="D71" s="25">
        <v>1347</v>
      </c>
      <c r="E71" s="26">
        <v>-4</v>
      </c>
      <c r="F71" s="24">
        <v>0</v>
      </c>
      <c r="G71" s="26">
        <v>0</v>
      </c>
      <c r="H71" s="24">
        <v>0</v>
      </c>
      <c r="I71" s="94">
        <v>0</v>
      </c>
      <c r="J71" s="116">
        <v>-237</v>
      </c>
      <c r="K71" s="59">
        <f t="shared" si="16"/>
        <v>1106</v>
      </c>
    </row>
    <row r="72" spans="1:11" ht="12.75">
      <c r="A72" s="50"/>
      <c r="B72" s="3" t="s">
        <v>27</v>
      </c>
      <c r="C72" s="24">
        <v>5760</v>
      </c>
      <c r="D72" s="25">
        <v>5760</v>
      </c>
      <c r="E72" s="26">
        <v>-17</v>
      </c>
      <c r="F72" s="24">
        <v>0</v>
      </c>
      <c r="G72" s="26">
        <v>0</v>
      </c>
      <c r="H72" s="24">
        <v>0</v>
      </c>
      <c r="I72" s="94">
        <v>0</v>
      </c>
      <c r="J72" s="116">
        <v>0</v>
      </c>
      <c r="K72" s="59">
        <f t="shared" si="16"/>
        <v>5743</v>
      </c>
    </row>
    <row r="73" spans="1:11" ht="12.75">
      <c r="A73" s="50"/>
      <c r="B73" s="3" t="s">
        <v>28</v>
      </c>
      <c r="C73" s="24">
        <v>7061</v>
      </c>
      <c r="D73" s="25">
        <v>7061</v>
      </c>
      <c r="E73" s="26">
        <v>-21</v>
      </c>
      <c r="F73" s="24">
        <v>0</v>
      </c>
      <c r="G73" s="26">
        <v>0</v>
      </c>
      <c r="H73" s="24">
        <v>0</v>
      </c>
      <c r="I73" s="94">
        <v>0</v>
      </c>
      <c r="J73" s="116">
        <v>0</v>
      </c>
      <c r="K73" s="59">
        <f t="shared" si="16"/>
        <v>7040</v>
      </c>
    </row>
    <row r="74" spans="1:11" ht="12.75">
      <c r="A74" s="50"/>
      <c r="B74" s="3" t="s">
        <v>135</v>
      </c>
      <c r="C74" s="24">
        <v>67083</v>
      </c>
      <c r="D74" s="25">
        <v>67083</v>
      </c>
      <c r="E74" s="26">
        <v>-198</v>
      </c>
      <c r="F74" s="24">
        <v>0</v>
      </c>
      <c r="G74" s="26">
        <v>43640</v>
      </c>
      <c r="H74" s="24">
        <v>0</v>
      </c>
      <c r="I74" s="94">
        <v>0</v>
      </c>
      <c r="J74" s="116">
        <v>-7051</v>
      </c>
      <c r="K74" s="59">
        <f t="shared" si="16"/>
        <v>103474</v>
      </c>
    </row>
    <row r="75" spans="1:11" ht="12.75">
      <c r="A75" s="50"/>
      <c r="B75" s="3" t="s">
        <v>136</v>
      </c>
      <c r="C75" s="24">
        <v>5540</v>
      </c>
      <c r="D75" s="25">
        <v>12540</v>
      </c>
      <c r="E75" s="26">
        <v>-37</v>
      </c>
      <c r="F75" s="24">
        <v>0</v>
      </c>
      <c r="G75" s="26">
        <v>0</v>
      </c>
      <c r="H75" s="24">
        <v>0</v>
      </c>
      <c r="I75" s="94">
        <v>0</v>
      </c>
      <c r="J75" s="116">
        <v>7051</v>
      </c>
      <c r="K75" s="59">
        <f t="shared" si="16"/>
        <v>19554</v>
      </c>
    </row>
    <row r="76" spans="1:11" ht="12.75">
      <c r="A76" s="50"/>
      <c r="B76" s="3" t="s">
        <v>137</v>
      </c>
      <c r="C76" s="24">
        <v>67220</v>
      </c>
      <c r="D76" s="25">
        <v>73220</v>
      </c>
      <c r="E76" s="26">
        <v>-216</v>
      </c>
      <c r="F76" s="24">
        <v>0</v>
      </c>
      <c r="G76" s="26">
        <v>0</v>
      </c>
      <c r="H76" s="24">
        <v>0</v>
      </c>
      <c r="I76" s="94">
        <v>0</v>
      </c>
      <c r="J76" s="116">
        <v>927</v>
      </c>
      <c r="K76" s="59">
        <f t="shared" si="16"/>
        <v>73931</v>
      </c>
    </row>
    <row r="77" spans="1:11" ht="12.75">
      <c r="A77" s="50"/>
      <c r="B77" s="3" t="s">
        <v>29</v>
      </c>
      <c r="C77" s="24">
        <v>54122</v>
      </c>
      <c r="D77" s="25">
        <v>56122</v>
      </c>
      <c r="E77" s="26">
        <v>-165</v>
      </c>
      <c r="F77" s="24">
        <v>0</v>
      </c>
      <c r="G77" s="26">
        <v>0</v>
      </c>
      <c r="H77" s="24">
        <v>0</v>
      </c>
      <c r="I77" s="94">
        <v>0</v>
      </c>
      <c r="J77" s="116">
        <v>980</v>
      </c>
      <c r="K77" s="59">
        <f t="shared" si="16"/>
        <v>56937</v>
      </c>
    </row>
    <row r="78" spans="1:11" ht="12.75">
      <c r="A78" s="50"/>
      <c r="B78" s="3" t="s">
        <v>31</v>
      </c>
      <c r="C78" s="24">
        <v>15689</v>
      </c>
      <c r="D78" s="25">
        <v>23489</v>
      </c>
      <c r="E78" s="26">
        <v>-69</v>
      </c>
      <c r="F78" s="24">
        <v>0</v>
      </c>
      <c r="G78" s="26">
        <v>16250</v>
      </c>
      <c r="H78" s="24">
        <v>0</v>
      </c>
      <c r="I78" s="94">
        <v>0</v>
      </c>
      <c r="J78" s="116">
        <v>971</v>
      </c>
      <c r="K78" s="59">
        <f t="shared" si="16"/>
        <v>40641</v>
      </c>
    </row>
    <row r="79" spans="1:11" ht="12.75">
      <c r="A79" s="50"/>
      <c r="B79" s="3" t="s">
        <v>32</v>
      </c>
      <c r="C79" s="24">
        <v>1265</v>
      </c>
      <c r="D79" s="25">
        <v>1265</v>
      </c>
      <c r="E79" s="26">
        <v>-4</v>
      </c>
      <c r="F79" s="24">
        <v>0</v>
      </c>
      <c r="G79" s="26">
        <v>0</v>
      </c>
      <c r="H79" s="24">
        <v>0</v>
      </c>
      <c r="I79" s="94">
        <v>0</v>
      </c>
      <c r="J79" s="116">
        <v>0</v>
      </c>
      <c r="K79" s="59">
        <f t="shared" si="16"/>
        <v>1261</v>
      </c>
    </row>
    <row r="80" spans="1:11" ht="12.75">
      <c r="A80" s="50"/>
      <c r="B80" s="3" t="s">
        <v>138</v>
      </c>
      <c r="C80" s="24">
        <v>12484</v>
      </c>
      <c r="D80" s="25">
        <v>12484</v>
      </c>
      <c r="E80" s="26">
        <v>-37</v>
      </c>
      <c r="F80" s="24">
        <v>0</v>
      </c>
      <c r="G80" s="26">
        <v>0</v>
      </c>
      <c r="H80" s="24">
        <v>0</v>
      </c>
      <c r="I80" s="94">
        <v>0</v>
      </c>
      <c r="J80" s="116">
        <v>0</v>
      </c>
      <c r="K80" s="59">
        <f t="shared" si="16"/>
        <v>12447</v>
      </c>
    </row>
    <row r="81" spans="1:11" ht="12.75">
      <c r="A81" s="50"/>
      <c r="B81" s="3" t="s">
        <v>33</v>
      </c>
      <c r="C81" s="24">
        <v>18795</v>
      </c>
      <c r="D81" s="25">
        <v>21675</v>
      </c>
      <c r="E81" s="26">
        <v>-64</v>
      </c>
      <c r="F81" s="24">
        <v>0</v>
      </c>
      <c r="G81" s="26">
        <v>0</v>
      </c>
      <c r="H81" s="24">
        <v>0</v>
      </c>
      <c r="I81" s="94">
        <v>0</v>
      </c>
      <c r="J81" s="116">
        <v>0</v>
      </c>
      <c r="K81" s="59">
        <f t="shared" si="16"/>
        <v>21611</v>
      </c>
    </row>
    <row r="82" spans="1:11" ht="12.75">
      <c r="A82" s="50"/>
      <c r="B82" s="3" t="s">
        <v>34</v>
      </c>
      <c r="C82" s="24">
        <v>3272</v>
      </c>
      <c r="D82" s="25">
        <v>3272</v>
      </c>
      <c r="E82" s="26">
        <v>-10</v>
      </c>
      <c r="F82" s="24">
        <v>0</v>
      </c>
      <c r="G82" s="26">
        <v>0</v>
      </c>
      <c r="H82" s="24">
        <v>0</v>
      </c>
      <c r="I82" s="94">
        <v>0</v>
      </c>
      <c r="J82" s="116">
        <v>-651</v>
      </c>
      <c r="K82" s="59">
        <f t="shared" si="16"/>
        <v>2611</v>
      </c>
    </row>
    <row r="83" spans="1:11" ht="12.75">
      <c r="A83" s="50"/>
      <c r="B83" s="3" t="s">
        <v>35</v>
      </c>
      <c r="C83" s="24">
        <v>3702</v>
      </c>
      <c r="D83" s="25">
        <v>3702</v>
      </c>
      <c r="E83" s="26">
        <v>-11</v>
      </c>
      <c r="F83" s="24">
        <v>0</v>
      </c>
      <c r="G83" s="26">
        <v>0</v>
      </c>
      <c r="H83" s="24">
        <v>0</v>
      </c>
      <c r="I83" s="94">
        <v>0</v>
      </c>
      <c r="J83" s="116">
        <v>0</v>
      </c>
      <c r="K83" s="59">
        <f t="shared" si="16"/>
        <v>3691</v>
      </c>
    </row>
    <row r="84" spans="1:11" ht="12.75">
      <c r="A84" s="50"/>
      <c r="B84" s="3" t="s">
        <v>139</v>
      </c>
      <c r="C84" s="24">
        <v>34151</v>
      </c>
      <c r="D84" s="25">
        <v>36151</v>
      </c>
      <c r="E84" s="26">
        <v>-107</v>
      </c>
      <c r="F84" s="24">
        <v>0</v>
      </c>
      <c r="G84" s="26">
        <v>0</v>
      </c>
      <c r="H84" s="24">
        <v>0</v>
      </c>
      <c r="I84" s="94">
        <v>0</v>
      </c>
      <c r="J84" s="116">
        <v>0</v>
      </c>
      <c r="K84" s="59">
        <f t="shared" si="16"/>
        <v>36044</v>
      </c>
    </row>
    <row r="85" spans="1:11" ht="12.75">
      <c r="A85" s="50"/>
      <c r="B85" s="3" t="s">
        <v>140</v>
      </c>
      <c r="C85" s="24">
        <v>21593</v>
      </c>
      <c r="D85" s="25">
        <v>20000</v>
      </c>
      <c r="E85" s="26">
        <v>-59</v>
      </c>
      <c r="F85" s="24">
        <v>0</v>
      </c>
      <c r="G85" s="26">
        <v>0</v>
      </c>
      <c r="H85" s="24">
        <v>0</v>
      </c>
      <c r="I85" s="94">
        <v>0</v>
      </c>
      <c r="J85" s="116">
        <v>0</v>
      </c>
      <c r="K85" s="59">
        <f t="shared" si="16"/>
        <v>19941</v>
      </c>
    </row>
    <row r="86" spans="1:11" ht="12.75">
      <c r="A86" s="50"/>
      <c r="B86" s="3" t="s">
        <v>36</v>
      </c>
      <c r="C86" s="24">
        <v>11722</v>
      </c>
      <c r="D86" s="25">
        <v>11722</v>
      </c>
      <c r="E86" s="26">
        <v>-35</v>
      </c>
      <c r="F86" s="24">
        <v>0</v>
      </c>
      <c r="G86" s="26">
        <v>0</v>
      </c>
      <c r="H86" s="24">
        <v>0</v>
      </c>
      <c r="I86" s="94">
        <v>0</v>
      </c>
      <c r="J86" s="116">
        <v>-2337</v>
      </c>
      <c r="K86" s="59">
        <f t="shared" si="16"/>
        <v>9350</v>
      </c>
    </row>
    <row r="87" spans="1:11" ht="12.75">
      <c r="A87" s="50"/>
      <c r="B87" s="3" t="s">
        <v>37</v>
      </c>
      <c r="C87" s="24">
        <v>27194</v>
      </c>
      <c r="D87" s="25">
        <v>55561</v>
      </c>
      <c r="E87" s="26">
        <v>-164</v>
      </c>
      <c r="F87" s="24">
        <v>0</v>
      </c>
      <c r="G87" s="26">
        <v>0</v>
      </c>
      <c r="H87" s="24">
        <v>0</v>
      </c>
      <c r="I87" s="94">
        <v>0</v>
      </c>
      <c r="J87" s="116">
        <v>0</v>
      </c>
      <c r="K87" s="59">
        <f t="shared" si="16"/>
        <v>55397</v>
      </c>
    </row>
    <row r="88" spans="1:11" ht="12.75">
      <c r="A88" s="50"/>
      <c r="B88" s="3" t="s">
        <v>220</v>
      </c>
      <c r="C88" s="24">
        <v>55248</v>
      </c>
      <c r="D88" s="25">
        <v>55248</v>
      </c>
      <c r="E88" s="26">
        <v>-163</v>
      </c>
      <c r="F88" s="24">
        <v>0</v>
      </c>
      <c r="G88" s="26">
        <v>0</v>
      </c>
      <c r="H88" s="24">
        <v>0</v>
      </c>
      <c r="I88" s="94">
        <v>0</v>
      </c>
      <c r="J88" s="116">
        <v>7</v>
      </c>
      <c r="K88" s="59">
        <f t="shared" si="16"/>
        <v>55092</v>
      </c>
    </row>
    <row r="89" spans="1:11" ht="12.75">
      <c r="A89" s="50"/>
      <c r="B89" s="117" t="s">
        <v>221</v>
      </c>
      <c r="C89" s="24">
        <v>15862</v>
      </c>
      <c r="D89" s="25">
        <v>15862</v>
      </c>
      <c r="E89" s="26">
        <v>-47</v>
      </c>
      <c r="F89" s="24">
        <v>0</v>
      </c>
      <c r="G89" s="26">
        <v>0</v>
      </c>
      <c r="H89" s="24">
        <v>0</v>
      </c>
      <c r="I89" s="94">
        <v>0</v>
      </c>
      <c r="J89" s="116">
        <v>0</v>
      </c>
      <c r="K89" s="59">
        <f>SUM(D89:J89)</f>
        <v>15815</v>
      </c>
    </row>
    <row r="90" spans="1:11" ht="12.75">
      <c r="A90" s="50"/>
      <c r="B90" s="3" t="s">
        <v>223</v>
      </c>
      <c r="C90" s="24">
        <v>25892</v>
      </c>
      <c r="D90" s="25">
        <v>25892</v>
      </c>
      <c r="E90" s="26">
        <v>-76</v>
      </c>
      <c r="F90" s="24">
        <v>0</v>
      </c>
      <c r="G90" s="26">
        <v>0</v>
      </c>
      <c r="H90" s="24">
        <v>0</v>
      </c>
      <c r="I90" s="94">
        <v>0</v>
      </c>
      <c r="J90" s="116">
        <v>0</v>
      </c>
      <c r="K90" s="59">
        <f>SUM(D90:J90)</f>
        <v>25816</v>
      </c>
    </row>
    <row r="91" spans="1:11" ht="12.75">
      <c r="A91" s="50"/>
      <c r="B91" s="117" t="s">
        <v>222</v>
      </c>
      <c r="C91" s="24">
        <v>15455</v>
      </c>
      <c r="D91" s="25">
        <v>19455</v>
      </c>
      <c r="E91" s="26">
        <v>-57</v>
      </c>
      <c r="F91" s="24">
        <v>0</v>
      </c>
      <c r="G91" s="26">
        <v>0</v>
      </c>
      <c r="H91" s="24">
        <v>0</v>
      </c>
      <c r="I91" s="94">
        <v>0</v>
      </c>
      <c r="J91" s="116">
        <v>0</v>
      </c>
      <c r="K91" s="59">
        <f>SUM(D91:J91)</f>
        <v>19398</v>
      </c>
    </row>
    <row r="92" spans="1:11" ht="12.75">
      <c r="A92" s="50"/>
      <c r="B92" s="117" t="s">
        <v>224</v>
      </c>
      <c r="C92" s="24">
        <v>30201</v>
      </c>
      <c r="D92" s="25">
        <v>25351</v>
      </c>
      <c r="E92" s="26">
        <v>-75</v>
      </c>
      <c r="F92" s="24">
        <v>0</v>
      </c>
      <c r="G92" s="26">
        <v>0</v>
      </c>
      <c r="H92" s="24">
        <v>0</v>
      </c>
      <c r="I92" s="94">
        <v>0</v>
      </c>
      <c r="J92" s="116">
        <f>-94+35+94</f>
        <v>35</v>
      </c>
      <c r="K92" s="59">
        <f>SUM(D92:J92)</f>
        <v>25311</v>
      </c>
    </row>
    <row r="93" spans="1:11" ht="12.75">
      <c r="A93" s="50"/>
      <c r="B93" s="117" t="s">
        <v>225</v>
      </c>
      <c r="C93" s="24">
        <v>33966</v>
      </c>
      <c r="D93" s="25">
        <v>23566</v>
      </c>
      <c r="E93" s="26">
        <v>-69</v>
      </c>
      <c r="F93" s="24">
        <v>0</v>
      </c>
      <c r="G93" s="26">
        <v>0</v>
      </c>
      <c r="H93" s="24">
        <v>0</v>
      </c>
      <c r="I93" s="94">
        <v>0</v>
      </c>
      <c r="J93" s="116">
        <v>0</v>
      </c>
      <c r="K93" s="59">
        <f>SUM(D93:J93)</f>
        <v>23497</v>
      </c>
    </row>
    <row r="94" spans="1:11" ht="12.75">
      <c r="A94" s="50"/>
      <c r="B94" s="117" t="s">
        <v>38</v>
      </c>
      <c r="C94" s="24">
        <v>13450</v>
      </c>
      <c r="D94" s="25">
        <v>13450</v>
      </c>
      <c r="E94" s="26">
        <v>-40</v>
      </c>
      <c r="F94" s="24">
        <v>0</v>
      </c>
      <c r="G94" s="26">
        <v>0</v>
      </c>
      <c r="H94" s="24">
        <v>0</v>
      </c>
      <c r="I94" s="94">
        <v>0</v>
      </c>
      <c r="J94" s="116">
        <v>0</v>
      </c>
      <c r="K94" s="59">
        <f t="shared" si="16"/>
        <v>13410</v>
      </c>
    </row>
    <row r="95" spans="1:11" ht="12.75">
      <c r="A95" s="50"/>
      <c r="B95" s="117" t="s">
        <v>39</v>
      </c>
      <c r="C95" s="24">
        <v>15331</v>
      </c>
      <c r="D95" s="25">
        <v>15331</v>
      </c>
      <c r="E95" s="26">
        <v>-45</v>
      </c>
      <c r="F95" s="24">
        <v>0</v>
      </c>
      <c r="G95" s="26">
        <v>0</v>
      </c>
      <c r="H95" s="24">
        <v>0</v>
      </c>
      <c r="I95" s="94">
        <v>0</v>
      </c>
      <c r="J95" s="116">
        <v>-3014</v>
      </c>
      <c r="K95" s="59">
        <f t="shared" si="16"/>
        <v>12272</v>
      </c>
    </row>
    <row r="96" spans="1:11" ht="12.75">
      <c r="A96" s="50"/>
      <c r="B96" s="117" t="s">
        <v>198</v>
      </c>
      <c r="C96" s="24">
        <v>315443</v>
      </c>
      <c r="D96" s="25">
        <v>319443</v>
      </c>
      <c r="E96" s="26">
        <v>-941</v>
      </c>
      <c r="F96" s="24">
        <v>0</v>
      </c>
      <c r="G96" s="26">
        <v>33750</v>
      </c>
      <c r="H96" s="24">
        <v>0</v>
      </c>
      <c r="I96" s="94">
        <v>0</v>
      </c>
      <c r="J96" s="116">
        <f>2431+511</f>
        <v>2942</v>
      </c>
      <c r="K96" s="59">
        <f t="shared" si="16"/>
        <v>355194</v>
      </c>
    </row>
    <row r="97" spans="1:11" ht="12.75">
      <c r="A97" s="50"/>
      <c r="B97" s="117" t="s">
        <v>40</v>
      </c>
      <c r="C97" s="24">
        <v>64778</v>
      </c>
      <c r="D97" s="25">
        <v>55778</v>
      </c>
      <c r="E97" s="26">
        <v>-164</v>
      </c>
      <c r="F97" s="24">
        <v>0</v>
      </c>
      <c r="G97" s="26">
        <v>0</v>
      </c>
      <c r="H97" s="24">
        <v>0</v>
      </c>
      <c r="I97" s="94">
        <v>0</v>
      </c>
      <c r="J97" s="116">
        <v>-511</v>
      </c>
      <c r="K97" s="59">
        <f t="shared" si="16"/>
        <v>55103</v>
      </c>
    </row>
    <row r="98" spans="1:11" ht="13.5" thickBot="1">
      <c r="A98" s="50"/>
      <c r="B98" s="31" t="s">
        <v>185</v>
      </c>
      <c r="C98" s="24">
        <v>0</v>
      </c>
      <c r="D98" s="25">
        <v>0</v>
      </c>
      <c r="E98" s="26">
        <v>0</v>
      </c>
      <c r="F98" s="24">
        <v>0</v>
      </c>
      <c r="G98" s="26">
        <v>0</v>
      </c>
      <c r="H98" s="24">
        <v>0</v>
      </c>
      <c r="I98" s="94">
        <v>2407</v>
      </c>
      <c r="J98" s="116">
        <v>0</v>
      </c>
      <c r="K98" s="59">
        <f t="shared" si="16"/>
        <v>2407</v>
      </c>
    </row>
    <row r="99" spans="1:14" s="11" customFormat="1" ht="13.5" thickBot="1">
      <c r="A99" s="247"/>
      <c r="B99" s="37" t="s">
        <v>233</v>
      </c>
      <c r="C99" s="38">
        <f aca="true" t="shared" si="17" ref="C99:K99">SUM(C63:C98)</f>
        <v>1450512</v>
      </c>
      <c r="D99" s="38">
        <f t="shared" si="17"/>
        <v>1487375</v>
      </c>
      <c r="E99" s="38">
        <f t="shared" si="17"/>
        <v>-4387</v>
      </c>
      <c r="F99" s="38">
        <f t="shared" si="17"/>
        <v>0</v>
      </c>
      <c r="G99" s="38">
        <f t="shared" si="17"/>
        <v>110640</v>
      </c>
      <c r="H99" s="38">
        <f t="shared" si="17"/>
        <v>0</v>
      </c>
      <c r="I99" s="38">
        <f t="shared" si="17"/>
        <v>2407</v>
      </c>
      <c r="J99" s="38">
        <f t="shared" si="17"/>
        <v>0</v>
      </c>
      <c r="K99" s="38">
        <f t="shared" si="17"/>
        <v>1596035</v>
      </c>
      <c r="N99" s="10"/>
    </row>
    <row r="100" spans="1:11" ht="12.75">
      <c r="A100" s="49"/>
      <c r="B100" s="40"/>
      <c r="C100" s="24"/>
      <c r="D100" s="25"/>
      <c r="E100" s="26"/>
      <c r="F100" s="24"/>
      <c r="G100" s="26"/>
      <c r="H100" s="24"/>
      <c r="I100" s="94"/>
      <c r="J100" s="116"/>
      <c r="K100" s="25"/>
    </row>
    <row r="101" spans="1:11" ht="12.75">
      <c r="A101" s="49" t="s">
        <v>173</v>
      </c>
      <c r="B101" s="3" t="s">
        <v>42</v>
      </c>
      <c r="C101" s="24">
        <v>88565</v>
      </c>
      <c r="D101" s="25">
        <v>88565</v>
      </c>
      <c r="E101" s="26">
        <v>-261</v>
      </c>
      <c r="F101" s="24">
        <v>0</v>
      </c>
      <c r="G101" s="24">
        <v>0</v>
      </c>
      <c r="H101" s="24">
        <v>0</v>
      </c>
      <c r="I101" s="24">
        <v>0</v>
      </c>
      <c r="J101" s="116">
        <f>SUM('FY 09-11 DD 1416 Tracker-Total'!AU139)</f>
        <v>99</v>
      </c>
      <c r="K101" s="25">
        <f aca="true" t="shared" si="18" ref="K101:K106">SUM(D101:J101)</f>
        <v>88403</v>
      </c>
    </row>
    <row r="102" spans="1:11" ht="12.75">
      <c r="A102" s="49"/>
      <c r="B102" s="3" t="s">
        <v>43</v>
      </c>
      <c r="C102" s="24">
        <v>80211</v>
      </c>
      <c r="D102" s="25">
        <v>80211</v>
      </c>
      <c r="E102" s="26">
        <v>-237</v>
      </c>
      <c r="F102" s="24">
        <v>0</v>
      </c>
      <c r="G102" s="24">
        <v>0</v>
      </c>
      <c r="H102" s="24">
        <v>0</v>
      </c>
      <c r="I102" s="24">
        <v>0</v>
      </c>
      <c r="J102" s="116">
        <f>SUM('FY 09-11 DD 1416 Tracker-Total'!AU140)</f>
        <v>-99</v>
      </c>
      <c r="K102" s="25">
        <f t="shared" si="18"/>
        <v>79875</v>
      </c>
    </row>
    <row r="103" spans="1:11" ht="12.75">
      <c r="A103" s="49"/>
      <c r="B103" s="3" t="s">
        <v>44</v>
      </c>
      <c r="C103" s="24">
        <v>22299</v>
      </c>
      <c r="D103" s="25">
        <v>25579</v>
      </c>
      <c r="E103" s="26">
        <v>-75</v>
      </c>
      <c r="F103" s="24">
        <v>0</v>
      </c>
      <c r="G103" s="24">
        <v>0</v>
      </c>
      <c r="H103" s="24">
        <v>0</v>
      </c>
      <c r="I103" s="24">
        <v>0</v>
      </c>
      <c r="J103" s="116">
        <f>SUM('FY 09-11 DD 1416 Tracker-Total'!AU141)</f>
        <v>-5100</v>
      </c>
      <c r="K103" s="25">
        <f t="shared" si="18"/>
        <v>20404</v>
      </c>
    </row>
    <row r="104" spans="1:11" ht="12.75">
      <c r="A104" s="49"/>
      <c r="B104" s="3" t="s">
        <v>45</v>
      </c>
      <c r="C104" s="24">
        <v>38702</v>
      </c>
      <c r="D104" s="25">
        <v>38702</v>
      </c>
      <c r="E104" s="26">
        <v>-114</v>
      </c>
      <c r="F104" s="24">
        <v>0</v>
      </c>
      <c r="G104" s="24">
        <v>0</v>
      </c>
      <c r="H104" s="24">
        <v>0</v>
      </c>
      <c r="I104" s="24">
        <v>0</v>
      </c>
      <c r="J104" s="116">
        <f>SUM('FY 09-11 DD 1416 Tracker-Total'!AU142)</f>
        <v>0</v>
      </c>
      <c r="K104" s="25">
        <f t="shared" si="18"/>
        <v>38588</v>
      </c>
    </row>
    <row r="105" spans="1:11" ht="12.75">
      <c r="A105" s="49"/>
      <c r="B105" s="3" t="s">
        <v>199</v>
      </c>
      <c r="C105" s="24">
        <v>37784</v>
      </c>
      <c r="D105" s="25">
        <v>37784</v>
      </c>
      <c r="E105" s="26">
        <v>-111</v>
      </c>
      <c r="F105" s="24">
        <v>0</v>
      </c>
      <c r="G105" s="24">
        <v>0</v>
      </c>
      <c r="H105" s="24">
        <v>0</v>
      </c>
      <c r="I105" s="24">
        <v>0</v>
      </c>
      <c r="J105" s="116">
        <f>SUM('FY 09-11 DD 1416 Tracker-Total'!AU143)</f>
        <v>0</v>
      </c>
      <c r="K105" s="25">
        <f t="shared" si="18"/>
        <v>37673</v>
      </c>
    </row>
    <row r="106" spans="1:11" ht="13.5" thickBot="1">
      <c r="A106" s="49"/>
      <c r="B106" s="3" t="s">
        <v>46</v>
      </c>
      <c r="C106" s="24">
        <v>199610</v>
      </c>
      <c r="D106" s="25">
        <v>186160</v>
      </c>
      <c r="E106" s="26">
        <v>-549</v>
      </c>
      <c r="F106" s="24">
        <v>0</v>
      </c>
      <c r="G106" s="24">
        <v>0</v>
      </c>
      <c r="H106" s="24">
        <v>0</v>
      </c>
      <c r="I106" s="24">
        <v>0</v>
      </c>
      <c r="J106" s="116">
        <f>SUM('FY 09-11 DD 1416 Tracker-Total'!AU144)</f>
        <v>5100</v>
      </c>
      <c r="K106" s="25">
        <f t="shared" si="18"/>
        <v>190711</v>
      </c>
    </row>
    <row r="107" spans="1:11" s="11" customFormat="1" ht="13.5" thickBot="1">
      <c r="A107" s="247"/>
      <c r="B107" s="37" t="s">
        <v>234</v>
      </c>
      <c r="C107" s="38">
        <f>SUM(C101:C106)</f>
        <v>467171</v>
      </c>
      <c r="D107" s="38">
        <f aca="true" t="shared" si="19" ref="D107:K107">SUM(D101:D106)</f>
        <v>457001</v>
      </c>
      <c r="E107" s="38">
        <f t="shared" si="19"/>
        <v>-1347</v>
      </c>
      <c r="F107" s="38">
        <f t="shared" si="19"/>
        <v>0</v>
      </c>
      <c r="G107" s="38">
        <f t="shared" si="19"/>
        <v>0</v>
      </c>
      <c r="H107" s="38">
        <f t="shared" si="19"/>
        <v>0</v>
      </c>
      <c r="I107" s="270">
        <f t="shared" si="19"/>
        <v>0</v>
      </c>
      <c r="J107" s="38">
        <f t="shared" si="19"/>
        <v>0</v>
      </c>
      <c r="K107" s="39">
        <f t="shared" si="19"/>
        <v>455654</v>
      </c>
    </row>
    <row r="108" spans="1:11" ht="12.75">
      <c r="A108" s="41"/>
      <c r="B108" s="42"/>
      <c r="C108" s="24"/>
      <c r="D108" s="29"/>
      <c r="E108" s="31"/>
      <c r="F108" s="33"/>
      <c r="G108" s="31"/>
      <c r="H108" s="33"/>
      <c r="I108" s="93"/>
      <c r="J108" s="123"/>
      <c r="K108" s="25"/>
    </row>
    <row r="109" spans="1:11" ht="12.75">
      <c r="A109" s="41" t="s">
        <v>235</v>
      </c>
      <c r="B109" s="3" t="s">
        <v>226</v>
      </c>
      <c r="C109" s="24">
        <v>0</v>
      </c>
      <c r="D109" s="25">
        <v>57100</v>
      </c>
      <c r="E109" s="26">
        <v>-168</v>
      </c>
      <c r="F109" s="24">
        <v>0</v>
      </c>
      <c r="G109" s="26">
        <v>0</v>
      </c>
      <c r="H109" s="24">
        <v>0</v>
      </c>
      <c r="I109" s="26">
        <v>0</v>
      </c>
      <c r="J109" s="24">
        <v>0</v>
      </c>
      <c r="K109" s="25">
        <f>SUM(D109:J109)</f>
        <v>56932</v>
      </c>
    </row>
    <row r="110" spans="1:11" ht="13.5" thickBot="1">
      <c r="A110" s="41"/>
      <c r="B110" s="3" t="s">
        <v>227</v>
      </c>
      <c r="C110" s="24">
        <v>0</v>
      </c>
      <c r="D110" s="25">
        <v>105000</v>
      </c>
      <c r="E110" s="26">
        <v>-310</v>
      </c>
      <c r="F110" s="24">
        <v>0</v>
      </c>
      <c r="G110" s="26">
        <v>0</v>
      </c>
      <c r="H110" s="269">
        <v>0</v>
      </c>
      <c r="I110" s="26">
        <v>0</v>
      </c>
      <c r="J110" s="269">
        <v>0</v>
      </c>
      <c r="K110" s="25">
        <f>SUM(D110:J110)</f>
        <v>104690</v>
      </c>
    </row>
    <row r="111" spans="1:11" s="11" customFormat="1" ht="13.5" thickBot="1">
      <c r="A111" s="247"/>
      <c r="B111" s="37" t="s">
        <v>236</v>
      </c>
      <c r="C111" s="38">
        <f>SUM(C109:C110)</f>
        <v>0</v>
      </c>
      <c r="D111" s="38">
        <f aca="true" t="shared" si="20" ref="D111:K111">SUM(D109:D110)</f>
        <v>162100</v>
      </c>
      <c r="E111" s="38">
        <f t="shared" si="20"/>
        <v>-478</v>
      </c>
      <c r="F111" s="38">
        <f t="shared" si="20"/>
        <v>0</v>
      </c>
      <c r="G111" s="38">
        <f t="shared" si="20"/>
        <v>0</v>
      </c>
      <c r="H111" s="38">
        <f t="shared" si="20"/>
        <v>0</v>
      </c>
      <c r="I111" s="38">
        <f t="shared" si="20"/>
        <v>0</v>
      </c>
      <c r="J111" s="38">
        <f t="shared" si="20"/>
        <v>0</v>
      </c>
      <c r="K111" s="38">
        <f t="shared" si="20"/>
        <v>161622</v>
      </c>
    </row>
    <row r="112" spans="1:11" ht="12.75">
      <c r="A112" s="41"/>
      <c r="B112" s="42"/>
      <c r="C112" s="24"/>
      <c r="D112" s="29"/>
      <c r="E112" s="31"/>
      <c r="F112" s="24"/>
      <c r="G112" s="31"/>
      <c r="H112" s="33"/>
      <c r="I112" s="93"/>
      <c r="J112" s="123"/>
      <c r="K112" s="25"/>
    </row>
    <row r="113" spans="1:11" ht="13.5" thickBot="1">
      <c r="A113" s="41"/>
      <c r="B113" s="42"/>
      <c r="C113" s="24"/>
      <c r="D113" s="29"/>
      <c r="E113" s="31"/>
      <c r="F113" s="24"/>
      <c r="G113" s="31"/>
      <c r="H113" s="24"/>
      <c r="I113" s="93"/>
      <c r="J113" s="123"/>
      <c r="K113" s="25"/>
    </row>
    <row r="114" spans="1:11" s="256" customFormat="1" ht="13.5" thickBot="1">
      <c r="A114" s="43" t="s">
        <v>47</v>
      </c>
      <c r="B114" s="44" t="s">
        <v>164</v>
      </c>
      <c r="C114" s="38">
        <v>671379</v>
      </c>
      <c r="D114" s="38">
        <v>648379</v>
      </c>
      <c r="E114" s="218">
        <v>-1912</v>
      </c>
      <c r="F114" s="38">
        <v>0</v>
      </c>
      <c r="G114" s="218">
        <v>66597</v>
      </c>
      <c r="H114" s="38">
        <v>0</v>
      </c>
      <c r="I114" s="218">
        <f>29700</f>
        <v>29700</v>
      </c>
      <c r="J114" s="38">
        <v>0</v>
      </c>
      <c r="K114" s="39">
        <f>SUM(D114:J114)</f>
        <v>742764</v>
      </c>
    </row>
    <row r="115" spans="1:11" s="22" customFormat="1" ht="13.5" thickBot="1">
      <c r="A115" s="224"/>
      <c r="B115" s="225"/>
      <c r="C115" s="116"/>
      <c r="D115" s="59"/>
      <c r="E115" s="94"/>
      <c r="F115" s="116"/>
      <c r="G115" s="94"/>
      <c r="H115" s="116"/>
      <c r="I115" s="94"/>
      <c r="J115" s="116"/>
      <c r="K115" s="96"/>
    </row>
    <row r="116" spans="1:11" s="10" customFormat="1" ht="13.5" thickBot="1">
      <c r="A116" s="43" t="s">
        <v>175</v>
      </c>
      <c r="B116" s="39" t="s">
        <v>59</v>
      </c>
      <c r="C116" s="38">
        <f>SUM(C61+C99+C107+C114)</f>
        <v>3164228</v>
      </c>
      <c r="D116" s="38">
        <f aca="true" t="shared" si="21" ref="D116:J116">SUM(D61+D99+D107+D111+D114)</f>
        <v>3306269</v>
      </c>
      <c r="E116" s="38">
        <f t="shared" si="21"/>
        <v>-9749</v>
      </c>
      <c r="F116" s="38">
        <f t="shared" si="21"/>
        <v>0</v>
      </c>
      <c r="G116" s="38">
        <f t="shared" si="21"/>
        <v>177237</v>
      </c>
      <c r="H116" s="38">
        <f t="shared" si="21"/>
        <v>0</v>
      </c>
      <c r="I116" s="38">
        <f t="shared" si="21"/>
        <v>32490</v>
      </c>
      <c r="J116" s="38">
        <f t="shared" si="21"/>
        <v>-512</v>
      </c>
      <c r="K116" s="38">
        <f>SUM(K61+K99+K107+K111+K114)-1</f>
        <v>3505735</v>
      </c>
    </row>
    <row r="117" ht="12.75">
      <c r="A117" s="50"/>
    </row>
    <row r="118" ht="12.75">
      <c r="A118" s="50"/>
    </row>
    <row r="119" ht="12.75">
      <c r="A119" s="50"/>
    </row>
    <row r="120" ht="13.5" thickBot="1">
      <c r="A120" s="50"/>
    </row>
    <row r="121" spans="1:11" s="11" customFormat="1" ht="13.5" thickBot="1">
      <c r="A121" s="267" t="s">
        <v>68</v>
      </c>
      <c r="B121" s="268"/>
      <c r="C121" s="218">
        <v>3164228</v>
      </c>
      <c r="D121" s="218">
        <v>3306269</v>
      </c>
      <c r="E121" s="218">
        <v>-9749</v>
      </c>
      <c r="F121" s="218">
        <v>0</v>
      </c>
      <c r="G121" s="218">
        <v>177237</v>
      </c>
      <c r="H121" s="218">
        <v>0</v>
      </c>
      <c r="I121" s="218">
        <v>3066</v>
      </c>
      <c r="J121" s="218">
        <f>SUM(J116)</f>
        <v>-512</v>
      </c>
      <c r="K121" s="39">
        <v>3506247</v>
      </c>
    </row>
    <row r="123" spans="1:11" ht="12.75">
      <c r="A123" s="263" t="s">
        <v>189</v>
      </c>
      <c r="B123" s="264"/>
      <c r="C123" s="265">
        <f>SUM(C116-C121)</f>
        <v>0</v>
      </c>
      <c r="D123" s="265">
        <f aca="true" t="shared" si="22" ref="D123:K123">SUM(D116-D121)</f>
        <v>0</v>
      </c>
      <c r="E123" s="265">
        <f t="shared" si="22"/>
        <v>0</v>
      </c>
      <c r="F123" s="265">
        <f t="shared" si="22"/>
        <v>0</v>
      </c>
      <c r="G123" s="265">
        <f t="shared" si="22"/>
        <v>0</v>
      </c>
      <c r="H123" s="265">
        <f t="shared" si="22"/>
        <v>0</v>
      </c>
      <c r="I123" s="265">
        <f t="shared" si="22"/>
        <v>29424</v>
      </c>
      <c r="J123" s="265">
        <f t="shared" si="22"/>
        <v>0</v>
      </c>
      <c r="K123" s="266">
        <f t="shared" si="22"/>
        <v>-512</v>
      </c>
    </row>
    <row r="124" ht="12.75">
      <c r="C124" s="16"/>
    </row>
    <row r="125" ht="12.75">
      <c r="A125" s="12" t="s">
        <v>245</v>
      </c>
    </row>
  </sheetData>
  <sheetProtection/>
  <printOptions/>
  <pageMargins left="0.75" right="0.75" top="1" bottom="1" header="0.5" footer="0.5"/>
  <pageSetup fitToHeight="2" horizontalDpi="600" verticalDpi="600" orientation="landscape" scale="50" r:id="rId1"/>
  <headerFooter alignWithMargins="0">
    <oddHeader>&amp;CFY 2009/2011
PROCUREMENT, DEFENSE-WIDE
As of March 2009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M128"/>
  <sheetViews>
    <sheetView zoomScalePageLayoutView="0" workbookViewId="0" topLeftCell="A1">
      <pane xSplit="1" ySplit="5" topLeftCell="G10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11" sqref="M11"/>
    </sheetView>
  </sheetViews>
  <sheetFormatPr defaultColWidth="9.140625" defaultRowHeight="12.75"/>
  <cols>
    <col min="1" max="1" width="51.140625" style="12" customWidth="1"/>
    <col min="2" max="2" width="56.7109375" style="27" customWidth="1"/>
    <col min="3" max="3" width="12.421875" style="27" customWidth="1"/>
    <col min="4" max="4" width="14.57421875" style="27" customWidth="1"/>
    <col min="5" max="5" width="15.8515625" style="27" customWidth="1"/>
    <col min="6" max="6" width="15.421875" style="27" customWidth="1"/>
    <col min="7" max="7" width="14.8515625" style="27" customWidth="1"/>
    <col min="8" max="8" width="15.421875" style="27" customWidth="1"/>
    <col min="9" max="9" width="14.140625" style="21" customWidth="1"/>
    <col min="10" max="10" width="14.28125" style="21" customWidth="1"/>
    <col min="11" max="11" width="11.57421875" style="16" customWidth="1"/>
    <col min="12" max="12" width="10.00390625" style="27" customWidth="1"/>
    <col min="13" max="16384" width="9.140625" style="27" customWidth="1"/>
  </cols>
  <sheetData>
    <row r="2" spans="4:11" ht="12.75">
      <c r="D2" s="227" t="s">
        <v>237</v>
      </c>
      <c r="H2" s="227" t="s">
        <v>243</v>
      </c>
      <c r="J2" s="249" t="s">
        <v>241</v>
      </c>
      <c r="K2" s="22"/>
    </row>
    <row r="3" spans="4:11" ht="12.75">
      <c r="D3" s="227" t="s">
        <v>238</v>
      </c>
      <c r="E3" s="69" t="s">
        <v>88</v>
      </c>
      <c r="H3" s="227" t="s">
        <v>244</v>
      </c>
      <c r="I3" s="21" t="s">
        <v>95</v>
      </c>
      <c r="J3" s="249" t="s">
        <v>242</v>
      </c>
      <c r="K3" s="22"/>
    </row>
    <row r="4" spans="4:11" ht="13.5" thickBot="1">
      <c r="D4" s="227" t="s">
        <v>239</v>
      </c>
      <c r="E4" s="112" t="s">
        <v>104</v>
      </c>
      <c r="G4" s="227" t="s">
        <v>240</v>
      </c>
      <c r="H4" s="227" t="s">
        <v>78</v>
      </c>
      <c r="I4" s="249" t="s">
        <v>110</v>
      </c>
      <c r="J4" s="249" t="s">
        <v>155</v>
      </c>
      <c r="K4" s="22"/>
    </row>
    <row r="5" spans="1:11" ht="51" customHeight="1" thickBot="1">
      <c r="A5" s="48" t="s">
        <v>165</v>
      </c>
      <c r="B5" s="47" t="s">
        <v>166</v>
      </c>
      <c r="C5" s="53" t="s">
        <v>50</v>
      </c>
      <c r="D5" s="55" t="s">
        <v>51</v>
      </c>
      <c r="E5" s="53" t="s">
        <v>52</v>
      </c>
      <c r="F5" s="54" t="s">
        <v>53</v>
      </c>
      <c r="G5" s="54" t="s">
        <v>54</v>
      </c>
      <c r="H5" s="54" t="s">
        <v>55</v>
      </c>
      <c r="I5" s="54" t="s">
        <v>56</v>
      </c>
      <c r="J5" s="54" t="s">
        <v>57</v>
      </c>
      <c r="K5" s="219" t="s">
        <v>263</v>
      </c>
    </row>
    <row r="6" spans="1:11" ht="12.75">
      <c r="A6" s="244"/>
      <c r="B6" s="29"/>
      <c r="C6" s="30"/>
      <c r="D6" s="29"/>
      <c r="E6" s="31"/>
      <c r="F6" s="30"/>
      <c r="G6" s="31"/>
      <c r="H6" s="30"/>
      <c r="I6" s="93"/>
      <c r="J6" s="122"/>
      <c r="K6" s="25"/>
    </row>
    <row r="7" spans="1:11" ht="12.75">
      <c r="A7" s="50"/>
      <c r="B7" s="32"/>
      <c r="C7" s="33"/>
      <c r="D7" s="29"/>
      <c r="E7" s="31"/>
      <c r="F7" s="33"/>
      <c r="G7" s="31"/>
      <c r="H7" s="33"/>
      <c r="I7" s="93"/>
      <c r="J7" s="123"/>
      <c r="K7" s="25"/>
    </row>
    <row r="8" spans="1:11" ht="12.75">
      <c r="A8" s="50" t="s">
        <v>63</v>
      </c>
      <c r="B8" s="7" t="s">
        <v>12</v>
      </c>
      <c r="C8" s="24">
        <f>SUM('FY 09-11 DD 1416 Tracker-Total'!P14)</f>
        <v>105946</v>
      </c>
      <c r="D8" s="25">
        <f>SUM('FY 09-11 DD 1416 Tracker-Total'!J14)</f>
        <v>105946</v>
      </c>
      <c r="E8" s="26">
        <f>SUM('FY 09-11 DD 1416 Tracker-Total'!M14)</f>
        <v>-312</v>
      </c>
      <c r="F8" s="24"/>
      <c r="G8" s="26">
        <f>SUM('FY 09-11 DD 1416 Tracker-Total'!X16:Z16)</f>
        <v>0</v>
      </c>
      <c r="H8" s="24">
        <v>0</v>
      </c>
      <c r="I8" s="94">
        <f>SUM('FY 09-11 DD 1416 Tracker-Total'!AA14:AT14)</f>
        <v>-2300</v>
      </c>
      <c r="J8" s="116">
        <f>SUM('FY 09-11 DD 1416 Tracker-Total'!AU16)</f>
        <v>0</v>
      </c>
      <c r="K8" s="25">
        <f>SUM(D8:J8)</f>
        <v>103334</v>
      </c>
    </row>
    <row r="9" spans="1:11" s="11" customFormat="1" ht="12.75">
      <c r="A9" s="257"/>
      <c r="B9" s="258" t="s">
        <v>113</v>
      </c>
      <c r="C9" s="251">
        <f aca="true" t="shared" si="0" ref="C9:I9">SUM(C8)</f>
        <v>105946</v>
      </c>
      <c r="D9" s="251">
        <f t="shared" si="0"/>
        <v>105946</v>
      </c>
      <c r="E9" s="251">
        <f t="shared" si="0"/>
        <v>-312</v>
      </c>
      <c r="F9" s="251">
        <f t="shared" si="0"/>
        <v>0</v>
      </c>
      <c r="G9" s="251">
        <f t="shared" si="0"/>
        <v>0</v>
      </c>
      <c r="H9" s="251">
        <f t="shared" si="0"/>
        <v>0</v>
      </c>
      <c r="I9" s="251">
        <f t="shared" si="0"/>
        <v>-2300</v>
      </c>
      <c r="J9" s="251">
        <f>SUM(J8:J8)</f>
        <v>0</v>
      </c>
      <c r="K9" s="251">
        <f>SUM(K8:K8)</f>
        <v>103334</v>
      </c>
    </row>
    <row r="10" spans="1:11" ht="12.75">
      <c r="A10" s="50"/>
      <c r="B10" s="23"/>
      <c r="C10" s="24"/>
      <c r="D10" s="25"/>
      <c r="E10" s="26"/>
      <c r="F10" s="24"/>
      <c r="G10" s="26"/>
      <c r="H10" s="24"/>
      <c r="I10" s="94"/>
      <c r="J10" s="116"/>
      <c r="K10" s="25"/>
    </row>
    <row r="11" spans="1:11" ht="12.75">
      <c r="A11" s="50" t="s">
        <v>65</v>
      </c>
      <c r="B11" t="s">
        <v>116</v>
      </c>
      <c r="C11" s="24">
        <f>SUM('FY 09-11 DD 1416 Tracker-Total'!P18)</f>
        <v>0</v>
      </c>
      <c r="D11" s="25">
        <f>SUM('FY 09-11 DD 1416 Tracker-Total'!J18)</f>
        <v>0</v>
      </c>
      <c r="E11" s="26">
        <f>SUM('FY 09-11 DD 1416 Tracker-Total'!M18)</f>
        <v>0</v>
      </c>
      <c r="F11" s="24">
        <v>0</v>
      </c>
      <c r="G11" s="26">
        <f>SUM('FY 09-11 DD 1416 Tracker-Total'!X19:Z19)</f>
        <v>0</v>
      </c>
      <c r="H11" s="24">
        <v>0</v>
      </c>
      <c r="I11" s="94">
        <f>SUM('FY 09-11 DD 1416 Tracker-Total'!AA17:AT17)</f>
        <v>0</v>
      </c>
      <c r="J11" s="116">
        <f>SUM('FY 09-11 DD 1416 Tracker-Total'!AU19)</f>
        <v>0</v>
      </c>
      <c r="K11" s="59">
        <f>SUM(D11:J11)</f>
        <v>0</v>
      </c>
    </row>
    <row r="12" spans="1:11" ht="12.75">
      <c r="A12" s="50"/>
      <c r="B12" t="s">
        <v>12</v>
      </c>
      <c r="C12" s="24">
        <f>SUM('FY 09-11 DD 1416 Tracker-Total'!P19)</f>
        <v>26649</v>
      </c>
      <c r="D12" s="25">
        <f>SUM('FY 09-11 DD 1416 Tracker-Total'!J19)</f>
        <v>26649</v>
      </c>
      <c r="E12" s="26">
        <f>SUM('FY 09-11 DD 1416 Tracker-Total'!M19)</f>
        <v>-79</v>
      </c>
      <c r="F12" s="24">
        <v>0</v>
      </c>
      <c r="G12" s="26">
        <f>SUM('FY 09-11 DD 1416 Tracker-Total'!X20:Z20)</f>
        <v>0</v>
      </c>
      <c r="H12" s="24">
        <v>0</v>
      </c>
      <c r="I12" s="94">
        <f>SUM('FY 09-11 DD 1416 Tracker-Total'!AA18:AT18)</f>
        <v>0</v>
      </c>
      <c r="J12" s="116">
        <f>SUM('FY 09-11 DD 1416 Tracker-Total'!AU20)</f>
        <v>0</v>
      </c>
      <c r="K12" s="59">
        <f>SUM(D12:J12)</f>
        <v>26570</v>
      </c>
    </row>
    <row r="13" spans="1:11" s="11" customFormat="1" ht="12.75">
      <c r="A13" s="257"/>
      <c r="B13" s="259" t="s">
        <v>49</v>
      </c>
      <c r="C13" s="251">
        <f>SUM(C11:C12)</f>
        <v>26649</v>
      </c>
      <c r="D13" s="251">
        <f aca="true" t="shared" si="1" ref="D13:K13">SUM(D11:D12)</f>
        <v>26649</v>
      </c>
      <c r="E13" s="251">
        <f t="shared" si="1"/>
        <v>-79</v>
      </c>
      <c r="F13" s="251">
        <f t="shared" si="1"/>
        <v>0</v>
      </c>
      <c r="G13" s="251">
        <f t="shared" si="1"/>
        <v>0</v>
      </c>
      <c r="H13" s="251">
        <f t="shared" si="1"/>
        <v>0</v>
      </c>
      <c r="I13" s="251">
        <f t="shared" si="1"/>
        <v>0</v>
      </c>
      <c r="J13" s="251">
        <f t="shared" si="1"/>
        <v>0</v>
      </c>
      <c r="K13" s="251">
        <f t="shared" si="1"/>
        <v>26570</v>
      </c>
    </row>
    <row r="14" spans="1:11" ht="12.75">
      <c r="A14" s="50"/>
      <c r="B14" s="23"/>
      <c r="C14" s="24"/>
      <c r="D14" s="25"/>
      <c r="E14" s="26"/>
      <c r="F14" s="24"/>
      <c r="G14" s="26"/>
      <c r="H14" s="24"/>
      <c r="I14" s="94"/>
      <c r="J14" s="116"/>
      <c r="K14" s="25"/>
    </row>
    <row r="15" spans="1:11" ht="12.75">
      <c r="A15" s="50" t="s">
        <v>167</v>
      </c>
      <c r="B15" s="3" t="s">
        <v>6</v>
      </c>
      <c r="C15" s="24">
        <f>SUM('FY 09-11 DD 1416 Tracker-Total'!P22)</f>
        <v>54934</v>
      </c>
      <c r="D15" s="25">
        <f>SUM('FY 09-11 DD 1416 Tracker-Total'!J22)</f>
        <v>48734</v>
      </c>
      <c r="E15" s="26">
        <f>SUM('FY 09-11 DD 1416 Tracker-Total'!M22)</f>
        <v>-144</v>
      </c>
      <c r="F15" s="24">
        <v>0</v>
      </c>
      <c r="G15" s="26">
        <f>SUM('FY 09-11 DD 1416 Tracker-Total'!X23:Z23)</f>
        <v>0</v>
      </c>
      <c r="H15" s="24">
        <v>0</v>
      </c>
      <c r="I15" s="94">
        <f>SUM('FY 09-11 DD 1416 Tracker-Total'!AA21:AT21)</f>
        <v>0</v>
      </c>
      <c r="J15" s="24">
        <f>SUM('FY 09-11 DD 1416 Tracker-Total'!AU22)</f>
        <v>-1333</v>
      </c>
      <c r="K15" s="59">
        <f>SUM(D15:J15)</f>
        <v>47257</v>
      </c>
    </row>
    <row r="16" spans="1:11" ht="12.75">
      <c r="A16" s="50"/>
      <c r="B16" s="3" t="s">
        <v>248</v>
      </c>
      <c r="C16" s="24">
        <f>SUM('FY 09-11 DD 1416 Tracker-Total'!P23)</f>
        <v>10973</v>
      </c>
      <c r="D16" s="25">
        <f>SUM('FY 09-11 DD 1416 Tracker-Total'!J23)</f>
        <v>10973</v>
      </c>
      <c r="E16" s="26">
        <f>SUM('FY 09-11 DD 1416 Tracker-Total'!M23)</f>
        <v>-32</v>
      </c>
      <c r="F16" s="24">
        <v>0</v>
      </c>
      <c r="G16" s="26">
        <f>SUM('FY 09-11 DD 1416 Tracker-Total'!X24:Z24)</f>
        <v>0</v>
      </c>
      <c r="H16" s="24">
        <v>0</v>
      </c>
      <c r="I16" s="94">
        <f>SUM('FY 09-11 DD 1416 Tracker-Total'!AA22:AT22)</f>
        <v>0</v>
      </c>
      <c r="J16" s="24">
        <f>SUM('FY 09-11 DD 1416 Tracker-Total'!AU23)</f>
        <v>-2151</v>
      </c>
      <c r="K16" s="59">
        <f aca="true" t="shared" si="2" ref="K16:K25">SUM(D16:J16)</f>
        <v>8790</v>
      </c>
    </row>
    <row r="17" spans="1:11" ht="12.75">
      <c r="A17" s="50"/>
      <c r="B17" s="3" t="s">
        <v>7</v>
      </c>
      <c r="C17" s="24">
        <f>SUM('FY 09-11 DD 1416 Tracker-Total'!P24)</f>
        <v>2788</v>
      </c>
      <c r="D17" s="25">
        <f>SUM('FY 09-11 DD 1416 Tracker-Total'!J24)</f>
        <v>2788</v>
      </c>
      <c r="E17" s="26">
        <f>SUM('FY 09-11 DD 1416 Tracker-Total'!M24)</f>
        <v>-8</v>
      </c>
      <c r="F17" s="24">
        <v>0</v>
      </c>
      <c r="G17" s="26">
        <f>SUM('FY 09-11 DD 1416 Tracker-Total'!X25:Z25)</f>
        <v>0</v>
      </c>
      <c r="H17" s="24">
        <v>0</v>
      </c>
      <c r="I17" s="94">
        <f>SUM('FY 09-11 DD 1416 Tracker-Total'!AA23:AT23)</f>
        <v>0</v>
      </c>
      <c r="J17" s="24">
        <f>SUM('FY 09-11 DD 1416 Tracker-Total'!AU24)</f>
        <v>-111</v>
      </c>
      <c r="K17" s="59">
        <f t="shared" si="2"/>
        <v>2669</v>
      </c>
    </row>
    <row r="18" spans="1:11" ht="12.75">
      <c r="A18" s="50"/>
      <c r="B18" s="3" t="s">
        <v>8</v>
      </c>
      <c r="C18" s="24">
        <f>SUM('FY 09-11 DD 1416 Tracker-Total'!P25)</f>
        <v>15062</v>
      </c>
      <c r="D18" s="25">
        <f>SUM('FY 09-11 DD 1416 Tracker-Total'!J25)</f>
        <v>15062</v>
      </c>
      <c r="E18" s="26">
        <f>SUM('FY 09-11 DD 1416 Tracker-Total'!M25)</f>
        <v>-44</v>
      </c>
      <c r="F18" s="24">
        <v>0</v>
      </c>
      <c r="G18" s="26">
        <f>SUM('FY 09-11 DD 1416 Tracker-Total'!X26:Z26)</f>
        <v>0</v>
      </c>
      <c r="H18" s="24">
        <v>0</v>
      </c>
      <c r="I18" s="94">
        <f>SUM('FY 09-11 DD 1416 Tracker-Total'!AA24:AT24)</f>
        <v>200</v>
      </c>
      <c r="J18" s="24">
        <f>SUM('FY 09-11 DD 1416 Tracker-Total'!AU25)</f>
        <v>566</v>
      </c>
      <c r="K18" s="59">
        <f t="shared" si="2"/>
        <v>15784</v>
      </c>
    </row>
    <row r="19" spans="1:11" ht="12.75">
      <c r="A19" s="50"/>
      <c r="B19" s="3" t="s">
        <v>9</v>
      </c>
      <c r="C19" s="24">
        <f>SUM('FY 09-11 DD 1416 Tracker-Total'!P26)</f>
        <v>121296</v>
      </c>
      <c r="D19" s="25">
        <f>SUM('FY 09-11 DD 1416 Tracker-Total'!J26)</f>
        <v>111296</v>
      </c>
      <c r="E19" s="26">
        <f>SUM('FY 09-11 DD 1416 Tracker-Total'!M26)</f>
        <v>-328</v>
      </c>
      <c r="F19" s="24">
        <v>0</v>
      </c>
      <c r="G19" s="26">
        <f>SUM('FY 09-11 DD 1416 Tracker-Total'!X27:Z27)</f>
        <v>0</v>
      </c>
      <c r="H19" s="24">
        <v>0</v>
      </c>
      <c r="I19" s="94">
        <f>SUM('FY 09-11 DD 1416 Tracker-Total'!AA25:AT25)</f>
        <v>0</v>
      </c>
      <c r="J19" s="24">
        <f>SUM('FY 09-11 DD 1416 Tracker-Total'!AU26)</f>
        <v>11807</v>
      </c>
      <c r="K19" s="59">
        <f t="shared" si="2"/>
        <v>122775</v>
      </c>
    </row>
    <row r="20" spans="1:11" ht="12.75">
      <c r="A20" s="50"/>
      <c r="B20" s="3" t="s">
        <v>10</v>
      </c>
      <c r="C20" s="24">
        <f>SUM('FY 09-11 DD 1416 Tracker-Total'!P27)</f>
        <v>36765</v>
      </c>
      <c r="D20" s="25">
        <f>SUM('FY 09-11 DD 1416 Tracker-Total'!J27)</f>
        <v>36765</v>
      </c>
      <c r="E20" s="26">
        <f>SUM('FY 09-11 DD 1416 Tracker-Total'!M27)</f>
        <v>-108</v>
      </c>
      <c r="F20" s="24">
        <v>0</v>
      </c>
      <c r="G20" s="26">
        <f>SUM('FY 09-11 DD 1416 Tracker-Total'!X28:Z28)</f>
        <v>0</v>
      </c>
      <c r="H20" s="24">
        <v>0</v>
      </c>
      <c r="I20" s="94">
        <f>SUM('FY 09-11 DD 1416 Tracker-Total'!AA26:AT26)</f>
        <v>0</v>
      </c>
      <c r="J20" s="24">
        <f>SUM('FY 09-11 DD 1416 Tracker-Total'!AU27)</f>
        <v>-7331</v>
      </c>
      <c r="K20" s="59">
        <f t="shared" si="2"/>
        <v>29326</v>
      </c>
    </row>
    <row r="21" spans="1:11" ht="12.75">
      <c r="A21" s="50"/>
      <c r="B21" s="3" t="s">
        <v>197</v>
      </c>
      <c r="C21" s="24">
        <f>SUM('FY 09-11 DD 1416 Tracker-Total'!P28)</f>
        <v>90328</v>
      </c>
      <c r="D21" s="25">
        <f>SUM('FY 09-11 DD 1416 Tracker-Total'!J28)</f>
        <v>90328</v>
      </c>
      <c r="E21" s="26">
        <f>SUM('FY 09-11 DD 1416 Tracker-Total'!M28)</f>
        <v>-266</v>
      </c>
      <c r="F21" s="24">
        <v>0</v>
      </c>
      <c r="G21" s="26">
        <f>SUM('FY 09-11 DD 1416 Tracker-Total'!X29:Z29)</f>
        <v>0</v>
      </c>
      <c r="H21" s="24">
        <v>0</v>
      </c>
      <c r="I21" s="94">
        <f>SUM('FY 09-11 DD 1416 Tracker-Total'!AA27:AT27)</f>
        <v>0</v>
      </c>
      <c r="J21" s="24">
        <f>SUM('FY 09-11 DD 1416 Tracker-Total'!AU28)</f>
        <v>-1046</v>
      </c>
      <c r="K21" s="59">
        <f t="shared" si="2"/>
        <v>89016</v>
      </c>
    </row>
    <row r="22" spans="1:11" ht="12.75">
      <c r="A22" s="50"/>
      <c r="B22" s="3" t="s">
        <v>203</v>
      </c>
      <c r="C22" s="24">
        <f>SUM('FY 09-11 DD 1416 Tracker-Total'!P29)</f>
        <v>1894</v>
      </c>
      <c r="D22" s="25">
        <f>SUM('FY 09-11 DD 1416 Tracker-Total'!J29)</f>
        <v>1894</v>
      </c>
      <c r="E22" s="26">
        <f>SUM('FY 09-11 DD 1416 Tracker-Total'!M29)</f>
        <v>-6</v>
      </c>
      <c r="F22" s="24">
        <v>0</v>
      </c>
      <c r="G22" s="26">
        <f>SUM('FY 09-11 DD 1416 Tracker-Total'!X30:Z30)</f>
        <v>0</v>
      </c>
      <c r="H22" s="24">
        <v>0</v>
      </c>
      <c r="I22" s="94">
        <f>SUM('FY 09-11 DD 1416 Tracker-Total'!AA28:AT28)</f>
        <v>0</v>
      </c>
      <c r="J22" s="24">
        <f>SUM('FY 09-11 DD 1416 Tracker-Total'!AU29)</f>
        <v>-60</v>
      </c>
      <c r="K22" s="59">
        <f t="shared" si="2"/>
        <v>1828</v>
      </c>
    </row>
    <row r="23" spans="1:11" ht="12.75">
      <c r="A23" s="50"/>
      <c r="B23" s="117" t="s">
        <v>184</v>
      </c>
      <c r="C23" s="24">
        <f>SUM('FY 09-11 DD 1416 Tracker-Total'!P30)</f>
        <v>0</v>
      </c>
      <c r="D23" s="25">
        <f>SUM('FY 09-11 DD 1416 Tracker-Total'!J30)</f>
        <v>0</v>
      </c>
      <c r="E23" s="26">
        <f>SUM('FY 09-11 DD 1416 Tracker-Total'!M30)</f>
        <v>0</v>
      </c>
      <c r="F23" s="24">
        <v>0</v>
      </c>
      <c r="G23" s="26">
        <f>SUM('FY 09-11 DD 1416 Tracker-Total'!X31:Z31)</f>
        <v>0</v>
      </c>
      <c r="H23" s="24">
        <v>0</v>
      </c>
      <c r="I23" s="94">
        <f>SUM('FY 09-11 DD 1416 Tracker-Total'!AA30:AT30)</f>
        <v>1316</v>
      </c>
      <c r="J23" s="24">
        <f>SUM('FY 09-11 DD 1416 Tracker-Total'!AU30)</f>
        <v>0</v>
      </c>
      <c r="K23" s="59">
        <f t="shared" si="2"/>
        <v>1316</v>
      </c>
    </row>
    <row r="24" spans="1:11" ht="12.75">
      <c r="A24" s="50"/>
      <c r="B24" s="117" t="s">
        <v>212</v>
      </c>
      <c r="C24" s="24">
        <f>SUM('FY 09-11 DD 1416 Tracker-Total'!P31)</f>
        <v>7952</v>
      </c>
      <c r="D24" s="25">
        <f>SUM('FY 09-11 DD 1416 Tracker-Total'!J31)</f>
        <v>4000</v>
      </c>
      <c r="E24" s="26">
        <f>SUM('FY 09-11 DD 1416 Tracker-Total'!M31)</f>
        <v>-12</v>
      </c>
      <c r="F24" s="24">
        <v>0</v>
      </c>
      <c r="G24" s="26">
        <f>SUM('FY 09-11 DD 1416 Tracker-Total'!X32:Z32)</f>
        <v>0</v>
      </c>
      <c r="H24" s="24">
        <v>0</v>
      </c>
      <c r="I24" s="94">
        <f>SUM('FY 09-11 DD 1416 Tracker-Total'!AA31:AT31)</f>
        <v>0</v>
      </c>
      <c r="J24" s="24">
        <f>SUM('FY 09-11 DD 1416 Tracker-Total'!AU31)</f>
        <v>-341</v>
      </c>
      <c r="K24" s="59">
        <f t="shared" si="2"/>
        <v>3647</v>
      </c>
    </row>
    <row r="25" spans="1:11" ht="12.75">
      <c r="A25" s="50"/>
      <c r="B25" s="117" t="s">
        <v>213</v>
      </c>
      <c r="C25" s="24">
        <f>SUM('FY 09-11 DD 1416 Tracker-Total'!P32)</f>
        <v>19100</v>
      </c>
      <c r="D25" s="25">
        <f>SUM('FY 09-11 DD 1416 Tracker-Total'!J32)</f>
        <v>19100</v>
      </c>
      <c r="E25" s="26">
        <f>SUM('FY 09-11 DD 1416 Tracker-Total'!M32)</f>
        <v>-56</v>
      </c>
      <c r="F25" s="24">
        <v>0</v>
      </c>
      <c r="G25" s="26">
        <f>SUM('FY 09-11 DD 1416 Tracker-Total'!X33:Z33)</f>
        <v>0</v>
      </c>
      <c r="H25" s="24">
        <v>0</v>
      </c>
      <c r="I25" s="94">
        <f>SUM('FY 09-11 DD 1416 Tracker-Total'!AA32:AT32)</f>
        <v>0</v>
      </c>
      <c r="J25" s="24">
        <f>SUM('FY 09-11 DD 1416 Tracker-Total'!AU32)</f>
        <v>0</v>
      </c>
      <c r="K25" s="59">
        <f t="shared" si="2"/>
        <v>19044</v>
      </c>
    </row>
    <row r="26" spans="1:11" s="11" customFormat="1" ht="12.75">
      <c r="A26" s="257"/>
      <c r="B26" s="259" t="s">
        <v>67</v>
      </c>
      <c r="C26" s="251">
        <f>SUM(C15:C25)</f>
        <v>361092</v>
      </c>
      <c r="D26" s="251">
        <f aca="true" t="shared" si="3" ref="D26:K26">SUM(D15:D25)</f>
        <v>340940</v>
      </c>
      <c r="E26" s="254">
        <f t="shared" si="3"/>
        <v>-1004</v>
      </c>
      <c r="F26" s="251">
        <f t="shared" si="3"/>
        <v>0</v>
      </c>
      <c r="G26" s="255">
        <f t="shared" si="3"/>
        <v>0</v>
      </c>
      <c r="H26" s="251">
        <f t="shared" si="3"/>
        <v>0</v>
      </c>
      <c r="I26" s="251">
        <f t="shared" si="3"/>
        <v>1516</v>
      </c>
      <c r="J26" s="251">
        <f t="shared" si="3"/>
        <v>0</v>
      </c>
      <c r="K26" s="251">
        <f t="shared" si="3"/>
        <v>341452</v>
      </c>
    </row>
    <row r="27" spans="1:11" ht="12.75">
      <c r="A27" s="50"/>
      <c r="B27" s="23"/>
      <c r="C27" s="24"/>
      <c r="D27" s="25"/>
      <c r="E27" s="26"/>
      <c r="F27" s="24"/>
      <c r="G27" s="26"/>
      <c r="H27" s="24"/>
      <c r="I27" s="94"/>
      <c r="J27" s="116"/>
      <c r="K27" s="25"/>
    </row>
    <row r="28" spans="1:11" ht="12.75">
      <c r="A28" s="50" t="s">
        <v>61</v>
      </c>
      <c r="B28" t="s">
        <v>12</v>
      </c>
      <c r="C28" s="24">
        <f>SUM('FY 09-11 DD 1416 Tracker-Total'!P35)</f>
        <v>8789</v>
      </c>
      <c r="D28" s="25">
        <f>SUM('FY 09-11 DD 1416 Tracker-Total'!J35)</f>
        <v>8789</v>
      </c>
      <c r="E28" s="26">
        <f>SUM('FY 09-11 DD 1416 Tracker-Total'!M35)</f>
        <v>-26</v>
      </c>
      <c r="F28" s="24">
        <v>0</v>
      </c>
      <c r="G28" s="26">
        <f>SUM('FY 09-11 DD 1416 Tracker-Total'!X36:Z36)</f>
        <v>0</v>
      </c>
      <c r="H28" s="24">
        <v>0</v>
      </c>
      <c r="I28" s="94">
        <f>SUM('FY 09-11 DD 1416 Tracker-Total'!AA35:AT35)</f>
        <v>0</v>
      </c>
      <c r="J28" s="24">
        <f>SUM('FY 09-11 DD 1416 Tracker-Total'!AU35)</f>
        <v>0</v>
      </c>
      <c r="K28" s="59">
        <f>SUM(D28:J28)</f>
        <v>8763</v>
      </c>
    </row>
    <row r="29" spans="1:11" ht="12.75">
      <c r="A29" s="257"/>
      <c r="B29" s="259" t="s">
        <v>117</v>
      </c>
      <c r="C29" s="251">
        <f>SUM(C28)</f>
        <v>8789</v>
      </c>
      <c r="D29" s="251">
        <f aca="true" t="shared" si="4" ref="D29:K29">SUM(D28)</f>
        <v>8789</v>
      </c>
      <c r="E29" s="251">
        <f t="shared" si="4"/>
        <v>-26</v>
      </c>
      <c r="F29" s="251">
        <f t="shared" si="4"/>
        <v>0</v>
      </c>
      <c r="G29" s="251">
        <f t="shared" si="4"/>
        <v>0</v>
      </c>
      <c r="H29" s="251">
        <f t="shared" si="4"/>
        <v>0</v>
      </c>
      <c r="I29" s="251">
        <f t="shared" si="4"/>
        <v>0</v>
      </c>
      <c r="J29" s="251">
        <f t="shared" si="4"/>
        <v>0</v>
      </c>
      <c r="K29" s="251">
        <f t="shared" si="4"/>
        <v>8763</v>
      </c>
    </row>
    <row r="30" spans="1:11" ht="12.75">
      <c r="A30" s="50"/>
      <c r="B30" s="34"/>
      <c r="C30" s="24"/>
      <c r="D30" s="25"/>
      <c r="E30" s="26"/>
      <c r="F30" s="24"/>
      <c r="G30" s="26"/>
      <c r="H30" s="24"/>
      <c r="I30" s="94"/>
      <c r="J30" s="116"/>
      <c r="K30" s="25"/>
    </row>
    <row r="31" spans="1:11" ht="12.75">
      <c r="A31" s="50" t="s">
        <v>60</v>
      </c>
      <c r="B31" t="s">
        <v>118</v>
      </c>
      <c r="C31" s="24">
        <f>SUM('FY 09-11 DD 1416 Tracker-Total'!P38)</f>
        <v>1523</v>
      </c>
      <c r="D31" s="25">
        <f>SUM('FY 09-11 DD 1416 Tracker-Total'!J38)</f>
        <v>3923</v>
      </c>
      <c r="E31" s="26">
        <f>SUM('FY 09-11 DD 1416 Tracker-Total'!M38)</f>
        <v>-12</v>
      </c>
      <c r="F31" s="24">
        <v>0</v>
      </c>
      <c r="G31" s="26">
        <f>SUM('FY 09-11 DD 1416 Tracker-Total'!X39:Z39)</f>
        <v>0</v>
      </c>
      <c r="H31" s="24">
        <v>0</v>
      </c>
      <c r="I31" s="94">
        <f>SUM('FY 09-11 DD 1416 Tracker-Total'!AA38:AT38)</f>
        <v>-2400</v>
      </c>
      <c r="J31" s="24">
        <f>SUM('FY 09-11 DD 1416 Tracker-Total'!AU38)</f>
        <v>0</v>
      </c>
      <c r="K31" s="59">
        <f>SUM(D31:J31)</f>
        <v>1511</v>
      </c>
    </row>
    <row r="32" spans="1:11" s="11" customFormat="1" ht="12.75">
      <c r="A32" s="257"/>
      <c r="B32" s="259" t="s">
        <v>119</v>
      </c>
      <c r="C32" s="251">
        <f>SUM(C31)</f>
        <v>1523</v>
      </c>
      <c r="D32" s="251">
        <f aca="true" t="shared" si="5" ref="D32:K32">SUM(D31)</f>
        <v>3923</v>
      </c>
      <c r="E32" s="251">
        <f t="shared" si="5"/>
        <v>-12</v>
      </c>
      <c r="F32" s="251">
        <f t="shared" si="5"/>
        <v>0</v>
      </c>
      <c r="G32" s="251">
        <f t="shared" si="5"/>
        <v>0</v>
      </c>
      <c r="H32" s="251">
        <f t="shared" si="5"/>
        <v>0</v>
      </c>
      <c r="I32" s="251">
        <f t="shared" si="5"/>
        <v>-2400</v>
      </c>
      <c r="J32" s="251">
        <f t="shared" si="5"/>
        <v>0</v>
      </c>
      <c r="K32" s="251">
        <f t="shared" si="5"/>
        <v>1511</v>
      </c>
    </row>
    <row r="33" spans="1:11" ht="12.75">
      <c r="A33" s="50"/>
      <c r="B33" s="34"/>
      <c r="C33" s="24"/>
      <c r="D33" s="25"/>
      <c r="E33" s="26"/>
      <c r="F33" s="24"/>
      <c r="G33" s="26"/>
      <c r="H33" s="24"/>
      <c r="I33" s="94"/>
      <c r="J33" s="116"/>
      <c r="K33" s="25"/>
    </row>
    <row r="34" spans="1:11" ht="12.75">
      <c r="A34" s="50" t="s">
        <v>64</v>
      </c>
      <c r="B34" t="s">
        <v>12</v>
      </c>
      <c r="C34" s="24">
        <f>SUM('FY 09-11 DD 1416 Tracker-Total'!P41)</f>
        <v>25897</v>
      </c>
      <c r="D34" s="25">
        <f>SUM('FY 09-11 DD 1416 Tracker-Total'!J41)</f>
        <v>25897</v>
      </c>
      <c r="E34" s="26">
        <f>SUM('FY 09-11 DD 1416 Tracker-Total'!M41)</f>
        <v>-86</v>
      </c>
      <c r="F34" s="24">
        <v>0</v>
      </c>
      <c r="G34" s="26">
        <f>SUM('FY 09-11 DD 1416 Tracker-Total'!X42:Z42)</f>
        <v>0</v>
      </c>
      <c r="H34" s="24">
        <v>0</v>
      </c>
      <c r="I34" s="94">
        <f>SUM('FY 09-11 DD 1416 Tracker-Total'!AA41:AT41)</f>
        <v>-276</v>
      </c>
      <c r="J34" s="24">
        <f>SUM('FY 09-11 DD 1416 Tracker-Total'!AU41)</f>
        <v>0</v>
      </c>
      <c r="K34" s="59">
        <f>SUM(D34:J34)</f>
        <v>25535</v>
      </c>
    </row>
    <row r="35" spans="1:11" s="11" customFormat="1" ht="12.75">
      <c r="A35" s="257"/>
      <c r="B35" s="259" t="s">
        <v>121</v>
      </c>
      <c r="C35" s="251">
        <f>SUM(C34)</f>
        <v>25897</v>
      </c>
      <c r="D35" s="251">
        <f aca="true" t="shared" si="6" ref="D35:K35">SUM(D34)</f>
        <v>25897</v>
      </c>
      <c r="E35" s="251">
        <f t="shared" si="6"/>
        <v>-86</v>
      </c>
      <c r="F35" s="251">
        <f t="shared" si="6"/>
        <v>0</v>
      </c>
      <c r="G35" s="251">
        <f t="shared" si="6"/>
        <v>0</v>
      </c>
      <c r="H35" s="251">
        <f t="shared" si="6"/>
        <v>0</v>
      </c>
      <c r="I35" s="251">
        <f t="shared" si="6"/>
        <v>-276</v>
      </c>
      <c r="J35" s="251">
        <f t="shared" si="6"/>
        <v>0</v>
      </c>
      <c r="K35" s="251">
        <f t="shared" si="6"/>
        <v>25535</v>
      </c>
    </row>
    <row r="36" spans="1:11" ht="12.75">
      <c r="A36" s="50"/>
      <c r="B36" s="34"/>
      <c r="C36" s="24"/>
      <c r="D36" s="25"/>
      <c r="E36" s="26"/>
      <c r="F36" s="24"/>
      <c r="G36" s="26"/>
      <c r="H36" s="24"/>
      <c r="I36" s="94"/>
      <c r="J36" s="116"/>
      <c r="K36" s="25"/>
    </row>
    <row r="37" spans="1:11" ht="12.75">
      <c r="A37" s="50" t="s">
        <v>168</v>
      </c>
      <c r="B37" t="s">
        <v>15</v>
      </c>
      <c r="C37" s="24">
        <f>SUM('FY 09-11 DD 1416 Tracker-Total'!P45)</f>
        <v>19214</v>
      </c>
      <c r="D37" s="25">
        <f>SUM('FY 09-11 DD 1416 Tracker-Total'!J45)</f>
        <v>10014</v>
      </c>
      <c r="E37" s="26">
        <f>SUM('FY 09-11 DD 1416 Tracker-Total'!M45)</f>
        <v>-30</v>
      </c>
      <c r="F37" s="24">
        <v>0</v>
      </c>
      <c r="G37" s="26">
        <f>SUM('FY 09-11 DD 1416 Tracker-Total'!X45:Z45)</f>
        <v>0</v>
      </c>
      <c r="H37" s="24">
        <v>0</v>
      </c>
      <c r="I37" s="94">
        <f>SUM('FY 09-11 DD 1416 Tracker-Total'!AA45:AT45)</f>
        <v>0</v>
      </c>
      <c r="J37" s="24">
        <f>SUM('FY 09-11 DD 1416 Tracker-Total'!AU44)</f>
        <v>0</v>
      </c>
      <c r="K37" s="59">
        <f>SUM(D37:J37)</f>
        <v>9984</v>
      </c>
    </row>
    <row r="38" spans="1:11" s="11" customFormat="1" ht="12.75">
      <c r="A38" s="257"/>
      <c r="B38" s="259" t="s">
        <v>122</v>
      </c>
      <c r="C38" s="251">
        <f>SUM(C37)</f>
        <v>19214</v>
      </c>
      <c r="D38" s="251">
        <f aca="true" t="shared" si="7" ref="D38:K38">SUM(D37)</f>
        <v>10014</v>
      </c>
      <c r="E38" s="251">
        <f t="shared" si="7"/>
        <v>-30</v>
      </c>
      <c r="F38" s="251">
        <f t="shared" si="7"/>
        <v>0</v>
      </c>
      <c r="G38" s="251">
        <f t="shared" si="7"/>
        <v>0</v>
      </c>
      <c r="H38" s="251">
        <f t="shared" si="7"/>
        <v>0</v>
      </c>
      <c r="I38" s="251">
        <f t="shared" si="7"/>
        <v>0</v>
      </c>
      <c r="J38" s="251">
        <f t="shared" si="7"/>
        <v>0</v>
      </c>
      <c r="K38" s="251">
        <f t="shared" si="7"/>
        <v>9984</v>
      </c>
    </row>
    <row r="39" spans="1:11" ht="12.75">
      <c r="A39" s="50"/>
      <c r="B39" s="35"/>
      <c r="C39" s="24"/>
      <c r="D39" s="25"/>
      <c r="E39" s="26"/>
      <c r="F39" s="24"/>
      <c r="G39" s="26"/>
      <c r="H39" s="24"/>
      <c r="I39" s="94"/>
      <c r="J39" s="116"/>
      <c r="K39" s="25"/>
    </row>
    <row r="40" spans="1:11" ht="12.75">
      <c r="A40" s="50" t="s">
        <v>62</v>
      </c>
      <c r="B40" t="s">
        <v>17</v>
      </c>
      <c r="C40" s="24">
        <f>SUM('FY 09-11 DD 1416 Tracker-Total'!P48)</f>
        <v>5621</v>
      </c>
      <c r="D40" s="25">
        <f>SUM('FY 09-11 DD 1416 Tracker-Total'!J48)</f>
        <v>8821</v>
      </c>
      <c r="E40" s="26">
        <f>SUM('FY 09-11 DD 1416 Tracker-Total'!M48)</f>
        <v>-17</v>
      </c>
      <c r="F40" s="24">
        <v>0</v>
      </c>
      <c r="G40" s="26">
        <f>SUM('FY 09-11 DD 1416 Tracker-Total'!X48:Z48)</f>
        <v>0</v>
      </c>
      <c r="H40" s="24">
        <v>0</v>
      </c>
      <c r="I40" s="94">
        <f>SUM('FY 09-11 DD 1416 Tracker-Total'!AA48:AU48)</f>
        <v>0</v>
      </c>
      <c r="J40" s="24">
        <f>SUM('FY 09-11 DD 1416 Tracker-Total'!AU47)</f>
        <v>0</v>
      </c>
      <c r="K40" s="59">
        <f>SUM(D40:J40)</f>
        <v>8804</v>
      </c>
    </row>
    <row r="41" spans="1:11" s="11" customFormat="1" ht="12.75">
      <c r="A41" s="257"/>
      <c r="B41" s="259" t="s">
        <v>66</v>
      </c>
      <c r="C41" s="251">
        <f>SUM(C40)</f>
        <v>5621</v>
      </c>
      <c r="D41" s="251">
        <f aca="true" t="shared" si="8" ref="D41:K41">SUM(D40)</f>
        <v>8821</v>
      </c>
      <c r="E41" s="251">
        <f t="shared" si="8"/>
        <v>-17</v>
      </c>
      <c r="F41" s="251">
        <f t="shared" si="8"/>
        <v>0</v>
      </c>
      <c r="G41" s="251">
        <f t="shared" si="8"/>
        <v>0</v>
      </c>
      <c r="H41" s="251">
        <f t="shared" si="8"/>
        <v>0</v>
      </c>
      <c r="I41" s="251">
        <f t="shared" si="8"/>
        <v>0</v>
      </c>
      <c r="J41" s="251">
        <f t="shared" si="8"/>
        <v>0</v>
      </c>
      <c r="K41" s="251">
        <f t="shared" si="8"/>
        <v>8804</v>
      </c>
    </row>
    <row r="42" spans="1:11" ht="12.75">
      <c r="A42" s="50"/>
      <c r="B42" s="23"/>
      <c r="C42" s="24"/>
      <c r="D42" s="25"/>
      <c r="E42" s="26"/>
      <c r="F42" s="24"/>
      <c r="G42" s="26"/>
      <c r="H42" s="24"/>
      <c r="I42" s="94"/>
      <c r="J42" s="116"/>
      <c r="K42" s="25"/>
    </row>
    <row r="43" spans="1:11" ht="12.75">
      <c r="A43" s="50" t="s">
        <v>169</v>
      </c>
      <c r="B43" t="s">
        <v>12</v>
      </c>
      <c r="C43" s="24">
        <f>SUM('FY 09-11 DD 1416 Tracker-Total'!P51)</f>
        <v>11158</v>
      </c>
      <c r="D43" s="25">
        <f>SUM('FY 09-11 DD 1416 Tracker-Total'!J51)</f>
        <v>11158</v>
      </c>
      <c r="E43" s="26">
        <f>SUM('FY 09-11 DD 1416 Tracker-Total'!M51)</f>
        <v>-33</v>
      </c>
      <c r="F43" s="24">
        <v>0</v>
      </c>
      <c r="G43" s="26">
        <f>SUM('FY 09-11 DD 1416 Tracker-Total'!X51:Z51)</f>
        <v>0</v>
      </c>
      <c r="H43" s="24">
        <v>0</v>
      </c>
      <c r="I43" s="94">
        <f>SUM('FY 09-11 DD 1416 Tracker-Total'!AA51:AT51)</f>
        <v>0</v>
      </c>
      <c r="J43" s="24">
        <f>SUM('FY 09-11 DD 1416 Tracker-Total'!AU50)</f>
        <v>0</v>
      </c>
      <c r="K43" s="59">
        <f>SUM(D43:J43)</f>
        <v>11125</v>
      </c>
    </row>
    <row r="44" spans="1:11" s="11" customFormat="1" ht="12.75">
      <c r="A44" s="257"/>
      <c r="B44" s="259" t="s">
        <v>123</v>
      </c>
      <c r="C44" s="251">
        <f>SUM(C43)</f>
        <v>11158</v>
      </c>
      <c r="D44" s="251">
        <f aca="true" t="shared" si="9" ref="D44:K44">SUM(D43)</f>
        <v>11158</v>
      </c>
      <c r="E44" s="251">
        <f t="shared" si="9"/>
        <v>-33</v>
      </c>
      <c r="F44" s="251">
        <f t="shared" si="9"/>
        <v>0</v>
      </c>
      <c r="G44" s="251">
        <f t="shared" si="9"/>
        <v>0</v>
      </c>
      <c r="H44" s="251">
        <f t="shared" si="9"/>
        <v>0</v>
      </c>
      <c r="I44" s="251">
        <f t="shared" si="9"/>
        <v>0</v>
      </c>
      <c r="J44" s="251">
        <f t="shared" si="9"/>
        <v>0</v>
      </c>
      <c r="K44" s="251">
        <f t="shared" si="9"/>
        <v>11125</v>
      </c>
    </row>
    <row r="45" spans="1:11" ht="12.75">
      <c r="A45" s="50"/>
      <c r="B45" s="23"/>
      <c r="C45" s="24"/>
      <c r="D45" s="25"/>
      <c r="E45" s="26"/>
      <c r="F45" s="24"/>
      <c r="G45" s="26"/>
      <c r="H45" s="24"/>
      <c r="I45" s="94"/>
      <c r="J45" s="116"/>
      <c r="K45" s="25"/>
    </row>
    <row r="46" spans="1:11" ht="12.75">
      <c r="A46" s="50" t="s">
        <v>170</v>
      </c>
      <c r="B46" t="s">
        <v>124</v>
      </c>
      <c r="C46" s="24">
        <f>SUM('FY 09-11 DD 1416 Tracker-Total'!P54)</f>
        <v>1498</v>
      </c>
      <c r="D46" s="25">
        <f>SUM('FY 09-11 DD 1416 Tracker-Total'!J54)</f>
        <v>1498</v>
      </c>
      <c r="E46" s="26">
        <f>SUM('FY 09-11 DD 1416 Tracker-Total'!M54)</f>
        <v>-4</v>
      </c>
      <c r="F46" s="24">
        <v>0</v>
      </c>
      <c r="G46" s="26">
        <f>SUM('FY 09-11 DD 1416 Tracker-Total'!X54:Z54)</f>
        <v>0</v>
      </c>
      <c r="H46" s="24">
        <v>0</v>
      </c>
      <c r="I46" s="94">
        <f>SUM('FY 09-11 DD 1416 Tracker-Total'!AA54:AT54)</f>
        <v>0</v>
      </c>
      <c r="J46" s="24">
        <f>SUM('FY 09-11 DD 1416 Tracker-Total'!AU53)</f>
        <v>0</v>
      </c>
      <c r="K46" s="59">
        <f>SUM(D46:J46)</f>
        <v>1494</v>
      </c>
    </row>
    <row r="47" spans="1:11" s="11" customFormat="1" ht="12.75">
      <c r="A47" s="257"/>
      <c r="B47" s="259" t="s">
        <v>125</v>
      </c>
      <c r="C47" s="251">
        <f>SUM(C46)</f>
        <v>1498</v>
      </c>
      <c r="D47" s="251">
        <f aca="true" t="shared" si="10" ref="D47:K47">SUM(D46)</f>
        <v>1498</v>
      </c>
      <c r="E47" s="251">
        <f t="shared" si="10"/>
        <v>-4</v>
      </c>
      <c r="F47" s="251">
        <f t="shared" si="10"/>
        <v>0</v>
      </c>
      <c r="G47" s="251">
        <f t="shared" si="10"/>
        <v>0</v>
      </c>
      <c r="H47" s="251">
        <f t="shared" si="10"/>
        <v>0</v>
      </c>
      <c r="I47" s="251">
        <f t="shared" si="10"/>
        <v>0</v>
      </c>
      <c r="J47" s="251">
        <f t="shared" si="10"/>
        <v>0</v>
      </c>
      <c r="K47" s="251">
        <f t="shared" si="10"/>
        <v>1494</v>
      </c>
    </row>
    <row r="48" spans="1:11" ht="12.75">
      <c r="A48" s="50"/>
      <c r="B48" s="34"/>
      <c r="C48" s="24"/>
      <c r="D48" s="25"/>
      <c r="E48" s="26"/>
      <c r="F48" s="24"/>
      <c r="G48" s="26"/>
      <c r="H48" s="24"/>
      <c r="I48" s="94"/>
      <c r="J48" s="116"/>
      <c r="K48" s="25"/>
    </row>
    <row r="49" spans="1:11" ht="12.75">
      <c r="A49" s="50" t="s">
        <v>171</v>
      </c>
      <c r="B49" t="s">
        <v>12</v>
      </c>
      <c r="C49" s="24">
        <f>SUM('FY 09-11 DD 1416 Tracker-Total'!P57)</f>
        <v>2149</v>
      </c>
      <c r="D49" s="25">
        <f>SUM('FY 09-11 DD 1416 Tracker-Total'!J57)</f>
        <v>2149</v>
      </c>
      <c r="E49" s="26">
        <f>SUM('FY 09-11 DD 1416 Tracker-Total'!M57)</f>
        <v>-6</v>
      </c>
      <c r="F49" s="24">
        <v>0</v>
      </c>
      <c r="G49" s="26">
        <f>SUM('FY 09-11 DD 1416 Tracker-Total'!X57:Z57)</f>
        <v>0</v>
      </c>
      <c r="H49" s="24">
        <v>0</v>
      </c>
      <c r="I49" s="94">
        <f>SUM('FY 09-11 DD 1416 Tracker-Total'!AA57:AT57)</f>
        <v>0</v>
      </c>
      <c r="J49" s="24">
        <f>SUM('FY 09-11 DD 1416 Tracker-Total'!AU56)</f>
        <v>0</v>
      </c>
      <c r="K49" s="59">
        <f>SUM(D49:J49)</f>
        <v>2143</v>
      </c>
    </row>
    <row r="50" spans="1:11" s="11" customFormat="1" ht="12.75">
      <c r="A50" s="257"/>
      <c r="B50" s="259" t="s">
        <v>126</v>
      </c>
      <c r="C50" s="251">
        <f>SUM(C49)</f>
        <v>2149</v>
      </c>
      <c r="D50" s="251">
        <f aca="true" t="shared" si="11" ref="D50:K50">SUM(D49)</f>
        <v>2149</v>
      </c>
      <c r="E50" s="251">
        <f t="shared" si="11"/>
        <v>-6</v>
      </c>
      <c r="F50" s="251">
        <f t="shared" si="11"/>
        <v>0</v>
      </c>
      <c r="G50" s="251">
        <f t="shared" si="11"/>
        <v>0</v>
      </c>
      <c r="H50" s="251">
        <f t="shared" si="11"/>
        <v>0</v>
      </c>
      <c r="I50" s="251">
        <f t="shared" si="11"/>
        <v>0</v>
      </c>
      <c r="J50" s="251">
        <f t="shared" si="11"/>
        <v>0</v>
      </c>
      <c r="K50" s="251">
        <f t="shared" si="11"/>
        <v>2143</v>
      </c>
    </row>
    <row r="51" spans="1:11" ht="12.75">
      <c r="A51" s="50"/>
      <c r="B51" s="23"/>
      <c r="C51" s="24"/>
      <c r="D51" s="25"/>
      <c r="E51" s="26"/>
      <c r="F51" s="24"/>
      <c r="G51" s="26"/>
      <c r="H51" s="24"/>
      <c r="I51" s="94"/>
      <c r="J51" s="116"/>
      <c r="K51" s="25"/>
    </row>
    <row r="52" spans="1:11" ht="12.75">
      <c r="A52" s="50" t="s">
        <v>172</v>
      </c>
      <c r="B52" t="s">
        <v>12</v>
      </c>
      <c r="C52" s="24">
        <f>SUM('FY 09-11 DD 1416 Tracker-Total'!P60)</f>
        <v>689</v>
      </c>
      <c r="D52" s="25">
        <f>SUM('FY 09-11 DD 1416 Tracker-Total'!J60)</f>
        <v>689</v>
      </c>
      <c r="E52" s="26">
        <f>SUM('FY 09-11 DD 1416 Tracker-Total'!M60)</f>
        <v>-2</v>
      </c>
      <c r="F52" s="24">
        <v>0</v>
      </c>
      <c r="G52" s="26">
        <f>SUM('FY 09-11 DD 1416 Tracker-Total'!X60:Z60)</f>
        <v>0</v>
      </c>
      <c r="H52" s="24">
        <v>0</v>
      </c>
      <c r="I52" s="94">
        <f>SUM('FY 09-11 DD 1416 Tracker-Total'!AA60:AT60)</f>
        <v>0</v>
      </c>
      <c r="J52" s="24">
        <f>SUM('FY 09-11 DD 1416 Tracker-Total'!AU59)</f>
        <v>0</v>
      </c>
      <c r="K52" s="59">
        <f>SUM(D52:J52)</f>
        <v>687</v>
      </c>
    </row>
    <row r="53" spans="1:11" s="11" customFormat="1" ht="12.75">
      <c r="A53" s="257"/>
      <c r="B53" s="259" t="s">
        <v>127</v>
      </c>
      <c r="C53" s="251">
        <f>SUM(C52)</f>
        <v>689</v>
      </c>
      <c r="D53" s="251">
        <f aca="true" t="shared" si="12" ref="D53:K53">SUM(D52)</f>
        <v>689</v>
      </c>
      <c r="E53" s="251">
        <f t="shared" si="12"/>
        <v>-2</v>
      </c>
      <c r="F53" s="251">
        <f t="shared" si="12"/>
        <v>0</v>
      </c>
      <c r="G53" s="251">
        <f t="shared" si="12"/>
        <v>0</v>
      </c>
      <c r="H53" s="251">
        <f t="shared" si="12"/>
        <v>0</v>
      </c>
      <c r="I53" s="251">
        <f t="shared" si="12"/>
        <v>0</v>
      </c>
      <c r="J53" s="251">
        <f t="shared" si="12"/>
        <v>0</v>
      </c>
      <c r="K53" s="251">
        <f t="shared" si="12"/>
        <v>687</v>
      </c>
    </row>
    <row r="54" spans="1:11" s="11" customFormat="1" ht="12.75">
      <c r="A54" s="50"/>
      <c r="C54" s="56"/>
      <c r="D54" s="56"/>
      <c r="E54" s="56"/>
      <c r="F54" s="56"/>
      <c r="G54" s="56"/>
      <c r="H54" s="56"/>
      <c r="I54" s="124"/>
      <c r="J54" s="124"/>
      <c r="K54" s="56"/>
    </row>
    <row r="55" spans="1:11" s="11" customFormat="1" ht="12.75">
      <c r="A55" s="50" t="s">
        <v>205</v>
      </c>
      <c r="B55" s="27" t="s">
        <v>206</v>
      </c>
      <c r="C55" s="24">
        <f>SUM('FY 09-11 DD 1416 Tracker-Total'!P63)</f>
        <v>436</v>
      </c>
      <c r="D55" s="25">
        <f>SUM('FY 09-11 DD 1416 Tracker-Total'!J63)</f>
        <v>436</v>
      </c>
      <c r="E55" s="26">
        <f>SUM('FY 09-11 DD 1416 Tracker-Total'!M63)</f>
        <v>-1</v>
      </c>
      <c r="F55" s="24">
        <v>0</v>
      </c>
      <c r="G55" s="26">
        <f>SUM('FY 09-11 DD 1416 Tracker-Total'!X63:Z63)</f>
        <v>0</v>
      </c>
      <c r="H55" s="24">
        <v>0</v>
      </c>
      <c r="I55" s="94">
        <f>SUM('FY 09-11 DD 1416 Tracker-Total'!AA63:AT63)</f>
        <v>0</v>
      </c>
      <c r="J55" s="24">
        <f>SUM('FY 09-11 DD 1416 Tracker-Total'!AU62)</f>
        <v>0</v>
      </c>
      <c r="K55" s="59">
        <f>SUM(D55:J55)</f>
        <v>435</v>
      </c>
    </row>
    <row r="56" spans="1:11" s="11" customFormat="1" ht="12.75">
      <c r="A56" s="257"/>
      <c r="B56" s="259" t="s">
        <v>204</v>
      </c>
      <c r="C56" s="251">
        <f>SUM(C55)</f>
        <v>436</v>
      </c>
      <c r="D56" s="251">
        <f aca="true" t="shared" si="13" ref="D56:K56">SUM(D55)</f>
        <v>436</v>
      </c>
      <c r="E56" s="251">
        <f t="shared" si="13"/>
        <v>-1</v>
      </c>
      <c r="F56" s="251">
        <f t="shared" si="13"/>
        <v>0</v>
      </c>
      <c r="G56" s="251">
        <f t="shared" si="13"/>
        <v>0</v>
      </c>
      <c r="H56" s="251">
        <f t="shared" si="13"/>
        <v>0</v>
      </c>
      <c r="I56" s="251">
        <f t="shared" si="13"/>
        <v>0</v>
      </c>
      <c r="J56" s="251">
        <f t="shared" si="13"/>
        <v>0</v>
      </c>
      <c r="K56" s="251">
        <f t="shared" si="13"/>
        <v>435</v>
      </c>
    </row>
    <row r="57" spans="1:11" s="11" customFormat="1" ht="12.75">
      <c r="A57" s="50"/>
      <c r="C57" s="56"/>
      <c r="D57" s="56"/>
      <c r="E57" s="56"/>
      <c r="F57" s="56"/>
      <c r="G57" s="56"/>
      <c r="H57" s="56"/>
      <c r="I57" s="124"/>
      <c r="J57" s="124"/>
      <c r="K57" s="56"/>
    </row>
    <row r="58" spans="1:11" s="11" customFormat="1" ht="12.75">
      <c r="A58" s="50" t="s">
        <v>179</v>
      </c>
      <c r="B58" s="93" t="s">
        <v>4</v>
      </c>
      <c r="C58" s="116">
        <f>SUM('FY 09-11 DD 1416 Tracker-Total'!P70)</f>
        <v>4505</v>
      </c>
      <c r="D58" s="25">
        <f>SUM('FY 09-11 DD 1416 Tracker-Total'!J70)</f>
        <v>4505</v>
      </c>
      <c r="E58" s="116">
        <f>SUM('FY 09-11 DD 1416 Tracker-Total'!M70)</f>
        <v>-13</v>
      </c>
      <c r="F58" s="116">
        <v>0</v>
      </c>
      <c r="G58" s="26">
        <f>SUM('DD 1416 As of 30 Jun 09'!U70:W70)</f>
        <v>0</v>
      </c>
      <c r="H58" s="116">
        <v>0</v>
      </c>
      <c r="I58" s="94">
        <f>SUM('FY 09-11 DD 1416 Tracker-Total'!AA70:AS70)</f>
        <v>0</v>
      </c>
      <c r="J58" s="24">
        <f>SUM('FY 09-11 DD 1416 Tracker-Total'!AU65)</f>
        <v>0</v>
      </c>
      <c r="K58" s="59">
        <f>SUM(D58:J58)</f>
        <v>4492</v>
      </c>
    </row>
    <row r="59" spans="1:11" s="11" customFormat="1" ht="12.75">
      <c r="A59" s="50"/>
      <c r="B59" s="11" t="s">
        <v>48</v>
      </c>
      <c r="C59" s="251">
        <f aca="true" t="shared" si="14" ref="C59:K59">SUM(C58)</f>
        <v>4505</v>
      </c>
      <c r="D59" s="251">
        <f t="shared" si="14"/>
        <v>4505</v>
      </c>
      <c r="E59" s="251">
        <f t="shared" si="14"/>
        <v>-13</v>
      </c>
      <c r="F59" s="251">
        <f t="shared" si="14"/>
        <v>0</v>
      </c>
      <c r="G59" s="251">
        <f t="shared" si="14"/>
        <v>0</v>
      </c>
      <c r="H59" s="251">
        <f t="shared" si="14"/>
        <v>0</v>
      </c>
      <c r="I59" s="251">
        <f t="shared" si="14"/>
        <v>0</v>
      </c>
      <c r="J59" s="251">
        <f t="shared" si="14"/>
        <v>0</v>
      </c>
      <c r="K59" s="251">
        <f t="shared" si="14"/>
        <v>4492</v>
      </c>
    </row>
    <row r="60" spans="1:11" s="11" customFormat="1" ht="13.5" thickBot="1">
      <c r="A60" s="50"/>
      <c r="C60" s="56"/>
      <c r="D60" s="56"/>
      <c r="E60" s="56"/>
      <c r="F60" s="56"/>
      <c r="G60" s="56"/>
      <c r="H60" s="56"/>
      <c r="I60" s="124"/>
      <c r="J60" s="124"/>
      <c r="K60" s="56"/>
    </row>
    <row r="61" spans="1:11" s="52" customFormat="1" ht="13.5" thickBot="1">
      <c r="A61" s="245"/>
      <c r="B61" s="51" t="s">
        <v>232</v>
      </c>
      <c r="C61" s="38">
        <f>SUM(C9+C13+C26+C29+C32+C35+C38+C41+C44+C47+C50+C53+C56+C59)</f>
        <v>575166</v>
      </c>
      <c r="D61" s="38">
        <f aca="true" t="shared" si="15" ref="D61:K61">SUM(D9+D13+D26+D29+D32+D35+D38+D41+D44+D47+D50+D53+D56+D59)</f>
        <v>551414</v>
      </c>
      <c r="E61" s="38">
        <f t="shared" si="15"/>
        <v>-1625</v>
      </c>
      <c r="F61" s="38">
        <f t="shared" si="15"/>
        <v>0</v>
      </c>
      <c r="G61" s="38">
        <f t="shared" si="15"/>
        <v>0</v>
      </c>
      <c r="H61" s="38">
        <f t="shared" si="15"/>
        <v>0</v>
      </c>
      <c r="I61" s="38">
        <f t="shared" si="15"/>
        <v>-3460</v>
      </c>
      <c r="J61" s="38">
        <f t="shared" si="15"/>
        <v>0</v>
      </c>
      <c r="K61" s="38">
        <f t="shared" si="15"/>
        <v>546329</v>
      </c>
    </row>
    <row r="62" spans="1:11" ht="12.75">
      <c r="A62" s="246"/>
      <c r="B62" s="36"/>
      <c r="C62" s="24"/>
      <c r="D62" s="25"/>
      <c r="E62" s="26"/>
      <c r="F62" s="24"/>
      <c r="G62" s="26"/>
      <c r="H62" s="24"/>
      <c r="I62" s="94"/>
      <c r="J62" s="116"/>
      <c r="K62" s="25"/>
    </row>
    <row r="63" spans="1:11" ht="12.75">
      <c r="A63" s="50" t="s">
        <v>174</v>
      </c>
      <c r="B63" s="3" t="s">
        <v>22</v>
      </c>
      <c r="C63" s="24">
        <f>SUM('FY 09-11 DD 1416 Tracker-Total'!F95)</f>
        <v>51950</v>
      </c>
      <c r="D63" s="25">
        <f>SUM('FY 09-11 DD 1416 Tracker-Total'!J95)</f>
        <v>89350</v>
      </c>
      <c r="E63" s="26">
        <f>SUM('FY 09-11 DD 1416 Tracker-Total'!M95)</f>
        <v>-153</v>
      </c>
      <c r="F63" s="24">
        <v>0</v>
      </c>
      <c r="G63" s="26">
        <f>SUM('FY 09-11 DD 1416 Tracker-Total'!X95:Z95)</f>
        <v>0</v>
      </c>
      <c r="H63" s="24">
        <v>0</v>
      </c>
      <c r="I63" s="94">
        <f>SUM('FY 09-11 DD 1416 Tracker-Total'!AA95:AT95)</f>
        <v>0</v>
      </c>
      <c r="J63" s="116">
        <f>SUM('FY 09-11 DD 1416 Tracker-Total'!AU95)</f>
        <v>3644</v>
      </c>
      <c r="K63" s="59">
        <f>SUM(D63:J63)</f>
        <v>92841</v>
      </c>
    </row>
    <row r="64" spans="1:11" ht="12.75">
      <c r="A64" s="50"/>
      <c r="B64" s="3" t="s">
        <v>132</v>
      </c>
      <c r="C64" s="24">
        <f>SUM('FY 09-11 DD 1416 Tracker-Total'!F96)</f>
        <v>63667</v>
      </c>
      <c r="D64" s="25">
        <f>SUM('FY 09-11 DD 1416 Tracker-Total'!J96)</f>
        <v>63667</v>
      </c>
      <c r="E64" s="26">
        <f>SUM('FY 09-11 DD 1416 Tracker-Total'!M96)</f>
        <v>-188</v>
      </c>
      <c r="F64" s="24">
        <v>0</v>
      </c>
      <c r="G64" s="26">
        <f>SUM('FY 09-11 DD 1416 Tracker-Total'!X96:Z96)</f>
        <v>0</v>
      </c>
      <c r="H64" s="24">
        <v>0</v>
      </c>
      <c r="I64" s="94">
        <f>SUM('FY 09-11 DD 1416 Tracker-Total'!AA96:AT96)</f>
        <v>366</v>
      </c>
      <c r="J64" s="116">
        <f>SUM('FY 09-11 DD 1416 Tracker-Total'!AU96)</f>
        <v>11600</v>
      </c>
      <c r="K64" s="59">
        <f aca="true" t="shared" si="16" ref="K64:K98">SUM(D64:J64)</f>
        <v>75445</v>
      </c>
    </row>
    <row r="65" spans="1:11" ht="12.75">
      <c r="A65" s="50"/>
      <c r="B65" s="3" t="s">
        <v>23</v>
      </c>
      <c r="C65" s="24">
        <f>SUM('FY 09-11 DD 1416 Tracker-Total'!F97)</f>
        <v>98163</v>
      </c>
      <c r="D65" s="25">
        <f>SUM('FY 09-11 DD 1416 Tracker-Total'!J97)</f>
        <v>98163</v>
      </c>
      <c r="E65" s="26">
        <f>SUM('FY 09-11 DD 1416 Tracker-Total'!M97)</f>
        <v>-400</v>
      </c>
      <c r="F65" s="24">
        <v>0</v>
      </c>
      <c r="G65" s="26">
        <f>SUM('FY 09-11 DD 1416 Tracker-Total'!X97:Z97)</f>
        <v>0</v>
      </c>
      <c r="H65" s="24">
        <v>0</v>
      </c>
      <c r="I65" s="94">
        <f>SUM('FY 09-11 DD 1416 Tracker-Total'!AA97:AT97)</f>
        <v>0</v>
      </c>
      <c r="J65" s="116">
        <f>SUM('FY 09-11 DD 1416 Tracker-Total'!AU97)</f>
        <v>-1800</v>
      </c>
      <c r="K65" s="59">
        <f t="shared" si="16"/>
        <v>95963</v>
      </c>
    </row>
    <row r="66" spans="1:11" ht="12.75">
      <c r="A66" s="50"/>
      <c r="B66" s="3" t="s">
        <v>133</v>
      </c>
      <c r="C66" s="24">
        <f>SUM('FY 09-11 DD 1416 Tracker-Total'!F98)</f>
        <v>39172</v>
      </c>
      <c r="D66" s="25">
        <f>SUM('FY 09-11 DD 1416 Tracker-Total'!J98)</f>
        <v>39172</v>
      </c>
      <c r="E66" s="26">
        <f>SUM('FY 09-11 DD 1416 Tracker-Total'!M98)</f>
        <v>-116</v>
      </c>
      <c r="F66" s="24">
        <v>0</v>
      </c>
      <c r="G66" s="26">
        <f>SUM('FY 09-11 DD 1416 Tracker-Total'!X98:Z98)</f>
        <v>0</v>
      </c>
      <c r="H66" s="24">
        <v>0</v>
      </c>
      <c r="I66" s="94">
        <f>SUM('FY 09-11 DD 1416 Tracker-Total'!AA98:AT98)</f>
        <v>0</v>
      </c>
      <c r="J66" s="116">
        <f>SUM('FY 09-11 DD 1416 Tracker-Total'!AU98)</f>
        <v>10740</v>
      </c>
      <c r="K66" s="59">
        <f t="shared" si="16"/>
        <v>49796</v>
      </c>
    </row>
    <row r="67" spans="1:11" ht="12.75">
      <c r="A67" s="50"/>
      <c r="B67" s="3" t="s">
        <v>134</v>
      </c>
      <c r="C67" s="24">
        <f>SUM('FY 09-11 DD 1416 Tracker-Total'!F99)</f>
        <v>36286</v>
      </c>
      <c r="D67" s="25">
        <f>SUM('FY 09-11 DD 1416 Tracker-Total'!J99)</f>
        <v>11286</v>
      </c>
      <c r="E67" s="26">
        <f>SUM('FY 09-11 DD 1416 Tracker-Total'!M99)</f>
        <v>-33</v>
      </c>
      <c r="F67" s="24">
        <v>0</v>
      </c>
      <c r="G67" s="26">
        <f>SUM('FY 09-11 DD 1416 Tracker-Total'!X99:Z99)</f>
        <v>0</v>
      </c>
      <c r="H67" s="24">
        <v>0</v>
      </c>
      <c r="I67" s="94">
        <f>SUM('FY 09-11 DD 1416 Tracker-Total'!AA99:AT99)</f>
        <v>0</v>
      </c>
      <c r="J67" s="116">
        <f>SUM('FY 09-11 DD 1416 Tracker-Total'!AU99)</f>
        <v>0</v>
      </c>
      <c r="K67" s="59">
        <f t="shared" si="16"/>
        <v>11253</v>
      </c>
    </row>
    <row r="68" spans="1:11" ht="12.75">
      <c r="A68" s="50"/>
      <c r="B68" s="3" t="s">
        <v>219</v>
      </c>
      <c r="C68" s="24">
        <f>SUM('FY 09-11 DD 1416 Tracker-Total'!F100)</f>
        <v>7659</v>
      </c>
      <c r="D68" s="25">
        <f>SUM('FY 09-11 DD 1416 Tracker-Total'!J100)</f>
        <v>7659</v>
      </c>
      <c r="E68" s="26">
        <f>SUM('FY 09-11 DD 1416 Tracker-Total'!M100)</f>
        <v>-23</v>
      </c>
      <c r="F68" s="24">
        <v>0</v>
      </c>
      <c r="G68" s="26">
        <f>SUM('FY 09-11 DD 1416 Tracker-Total'!X100:Z100)</f>
        <v>0</v>
      </c>
      <c r="H68" s="24">
        <v>0</v>
      </c>
      <c r="I68" s="94">
        <f>SUM('FY 09-11 DD 1416 Tracker-Total'!AA100:AT100)</f>
        <v>0</v>
      </c>
      <c r="J68" s="116">
        <f>SUM('FY 09-11 DD 1416 Tracker-Total'!AU100)</f>
        <v>0</v>
      </c>
      <c r="K68" s="59">
        <f t="shared" si="16"/>
        <v>7636</v>
      </c>
    </row>
    <row r="69" spans="1:11" ht="12.75">
      <c r="A69" s="50"/>
      <c r="B69" s="3" t="s">
        <v>24</v>
      </c>
      <c r="C69" s="24">
        <f>SUM('FY 09-11 DD 1416 Tracker-Total'!F101)</f>
        <v>162971</v>
      </c>
      <c r="D69" s="25">
        <f>SUM('FY 09-11 DD 1416 Tracker-Total'!J101)</f>
        <v>162971</v>
      </c>
      <c r="E69" s="26">
        <f>SUM('FY 09-11 DD 1416 Tracker-Total'!M101)</f>
        <v>-481</v>
      </c>
      <c r="F69" s="24">
        <v>0</v>
      </c>
      <c r="G69" s="26">
        <f>SUM('FY 09-11 DD 1416 Tracker-Total'!X101:Z101)</f>
        <v>0</v>
      </c>
      <c r="H69" s="24">
        <v>0</v>
      </c>
      <c r="I69" s="94">
        <f>SUM('FY 09-11 DD 1416 Tracker-Total'!AA101:AT101)</f>
        <v>0</v>
      </c>
      <c r="J69" s="116">
        <f>SUM('FY 09-11 DD 1416 Tracker-Total'!AU101)</f>
        <v>-7460</v>
      </c>
      <c r="K69" s="59">
        <f t="shared" si="16"/>
        <v>155030</v>
      </c>
    </row>
    <row r="70" spans="1:11" ht="12.75">
      <c r="A70" s="50"/>
      <c r="B70" s="3" t="s">
        <v>25</v>
      </c>
      <c r="C70" s="24">
        <f>SUM('FY 09-11 DD 1416 Tracker-Total'!F102)</f>
        <v>47018</v>
      </c>
      <c r="D70" s="25">
        <f>SUM('FY 09-11 DD 1416 Tracker-Total'!J102)</f>
        <v>33277</v>
      </c>
      <c r="E70" s="26">
        <f>SUM('FY 09-11 DD 1416 Tracker-Total'!M102)</f>
        <v>-98</v>
      </c>
      <c r="F70" s="24">
        <v>0</v>
      </c>
      <c r="G70" s="26">
        <f>SUM('FY 09-11 DD 1416 Tracker-Total'!X102:Z102)</f>
        <v>17000</v>
      </c>
      <c r="H70" s="24">
        <v>0</v>
      </c>
      <c r="I70" s="94">
        <f>SUM('FY 09-11 DD 1416 Tracker-Total'!AA102:AT102)</f>
        <v>141300</v>
      </c>
      <c r="J70" s="116">
        <f>SUM('FY 09-11 DD 1416 Tracker-Total'!AU102)</f>
        <v>-2361</v>
      </c>
      <c r="K70" s="59">
        <f t="shared" si="16"/>
        <v>189118</v>
      </c>
    </row>
    <row r="71" spans="1:11" ht="12.75">
      <c r="A71" s="50"/>
      <c r="B71" s="3" t="s">
        <v>26</v>
      </c>
      <c r="C71" s="24">
        <f>SUM('FY 09-11 DD 1416 Tracker-Total'!F103)</f>
        <v>1347</v>
      </c>
      <c r="D71" s="25">
        <f>SUM('FY 09-11 DD 1416 Tracker-Total'!J103)</f>
        <v>1347</v>
      </c>
      <c r="E71" s="26">
        <f>SUM('FY 09-11 DD 1416 Tracker-Total'!M103)</f>
        <v>-4</v>
      </c>
      <c r="F71" s="24">
        <v>0</v>
      </c>
      <c r="G71" s="26">
        <f>SUM('FY 09-11 DD 1416 Tracker-Total'!X103:Z103)</f>
        <v>0</v>
      </c>
      <c r="H71" s="24">
        <v>0</v>
      </c>
      <c r="I71" s="94">
        <f>SUM('FY 09-11 DD 1416 Tracker-Total'!AA103:AT103)</f>
        <v>-515</v>
      </c>
      <c r="J71" s="116">
        <f>SUM('FY 09-11 DD 1416 Tracker-Total'!AU103)</f>
        <v>-268</v>
      </c>
      <c r="K71" s="59">
        <f t="shared" si="16"/>
        <v>560</v>
      </c>
    </row>
    <row r="72" spans="1:11" ht="12.75">
      <c r="A72" s="50"/>
      <c r="B72" s="3" t="s">
        <v>27</v>
      </c>
      <c r="C72" s="24">
        <f>SUM('FY 09-11 DD 1416 Tracker-Total'!F104)</f>
        <v>5760</v>
      </c>
      <c r="D72" s="25">
        <f>SUM('FY 09-11 DD 1416 Tracker-Total'!J104)</f>
        <v>5760</v>
      </c>
      <c r="E72" s="26">
        <f>SUM('FY 09-11 DD 1416 Tracker-Total'!M104)</f>
        <v>-17</v>
      </c>
      <c r="F72" s="24">
        <v>0</v>
      </c>
      <c r="G72" s="26">
        <f>SUM('FY 09-11 DD 1416 Tracker-Total'!X104:Z104)</f>
        <v>0</v>
      </c>
      <c r="H72" s="24">
        <v>0</v>
      </c>
      <c r="I72" s="94">
        <f>SUM('FY 09-11 DD 1416 Tracker-Total'!AA104:AT104)</f>
        <v>-5503</v>
      </c>
      <c r="J72" s="116">
        <f>SUM('FY 09-11 DD 1416 Tracker-Total'!AU104)</f>
        <v>-108</v>
      </c>
      <c r="K72" s="59">
        <f t="shared" si="16"/>
        <v>132</v>
      </c>
    </row>
    <row r="73" spans="1:11" ht="12.75">
      <c r="A73" s="50"/>
      <c r="B73" s="3" t="s">
        <v>28</v>
      </c>
      <c r="C73" s="24">
        <f>SUM('FY 09-11 DD 1416 Tracker-Total'!F105)</f>
        <v>7061</v>
      </c>
      <c r="D73" s="25">
        <f>SUM('FY 09-11 DD 1416 Tracker-Total'!J105)</f>
        <v>7061</v>
      </c>
      <c r="E73" s="26">
        <f>SUM('FY 09-11 DD 1416 Tracker-Total'!M105)</f>
        <v>-21</v>
      </c>
      <c r="F73" s="24">
        <v>0</v>
      </c>
      <c r="G73" s="26">
        <f>SUM('FY 09-11 DD 1416 Tracker-Total'!X105:Z105)</f>
        <v>0</v>
      </c>
      <c r="H73" s="24">
        <v>0</v>
      </c>
      <c r="I73" s="94">
        <f>SUM('FY 09-11 DD 1416 Tracker-Total'!AA105:AT105)</f>
        <v>303</v>
      </c>
      <c r="J73" s="116">
        <f>SUM('FY 09-11 DD 1416 Tracker-Total'!AU105)</f>
        <v>108</v>
      </c>
      <c r="K73" s="59">
        <f t="shared" si="16"/>
        <v>7451</v>
      </c>
    </row>
    <row r="74" spans="1:11" ht="12.75">
      <c r="A74" s="50"/>
      <c r="B74" s="3" t="s">
        <v>135</v>
      </c>
      <c r="C74" s="24">
        <f>SUM('FY 09-11 DD 1416 Tracker-Total'!F106)</f>
        <v>67083</v>
      </c>
      <c r="D74" s="25">
        <f>SUM('FY 09-11 DD 1416 Tracker-Total'!J106)</f>
        <v>67083</v>
      </c>
      <c r="E74" s="26">
        <f>SUM('FY 09-11 DD 1416 Tracker-Total'!M106)</f>
        <v>-198</v>
      </c>
      <c r="F74" s="24">
        <v>0</v>
      </c>
      <c r="G74" s="348">
        <f>SUM('FY 09-11 DD 1416 Tracker-Total'!X106:Z106)-1000</f>
        <v>43640</v>
      </c>
      <c r="H74" s="24">
        <v>0</v>
      </c>
      <c r="I74" s="94">
        <f>SUM('FY 09-11 DD 1416 Tracker-Total'!AA106:AT106)</f>
        <v>0</v>
      </c>
      <c r="J74" s="116">
        <f>SUM('FY 09-11 DD 1416 Tracker-Total'!AU106)</f>
        <v>-5924</v>
      </c>
      <c r="K74" s="59">
        <f t="shared" si="16"/>
        <v>104601</v>
      </c>
    </row>
    <row r="75" spans="1:11" ht="12.75">
      <c r="A75" s="50"/>
      <c r="B75" s="3" t="s">
        <v>136</v>
      </c>
      <c r="C75" s="24">
        <f>SUM('FY 09-11 DD 1416 Tracker-Total'!F107)</f>
        <v>5540</v>
      </c>
      <c r="D75" s="25">
        <f>SUM('FY 09-11 DD 1416 Tracker-Total'!J107)</f>
        <v>12540</v>
      </c>
      <c r="E75" s="26">
        <f>SUM('FY 09-11 DD 1416 Tracker-Total'!M107)</f>
        <v>-37</v>
      </c>
      <c r="F75" s="24">
        <v>0</v>
      </c>
      <c r="G75" s="26">
        <f>SUM('FY 09-11 DD 1416 Tracker-Total'!X107:Z107)</f>
        <v>0</v>
      </c>
      <c r="H75" s="24">
        <v>0</v>
      </c>
      <c r="I75" s="94">
        <f>SUM('FY 09-11 DD 1416 Tracker-Total'!AA107:AT107)</f>
        <v>0</v>
      </c>
      <c r="J75" s="116">
        <f>SUM('FY 09-11 DD 1416 Tracker-Total'!AU107)</f>
        <v>7051</v>
      </c>
      <c r="K75" s="59">
        <f t="shared" si="16"/>
        <v>19554</v>
      </c>
    </row>
    <row r="76" spans="1:11" ht="12.75">
      <c r="A76" s="50"/>
      <c r="B76" s="3" t="s">
        <v>137</v>
      </c>
      <c r="C76" s="24">
        <f>SUM('FY 09-11 DD 1416 Tracker-Total'!F108)</f>
        <v>67220</v>
      </c>
      <c r="D76" s="25">
        <f>SUM('FY 09-11 DD 1416 Tracker-Total'!J108)</f>
        <v>73220</v>
      </c>
      <c r="E76" s="26">
        <f>SUM('FY 09-11 DD 1416 Tracker-Total'!M108)</f>
        <v>-216</v>
      </c>
      <c r="F76" s="24">
        <v>0</v>
      </c>
      <c r="G76" s="348">
        <f>SUM('FY 09-11 DD 1416 Tracker-Total'!X108:Z108)-3100</f>
        <v>0</v>
      </c>
      <c r="H76" s="24">
        <v>0</v>
      </c>
      <c r="I76" s="94">
        <f>SUM('FY 09-11 DD 1416 Tracker-Total'!AA108:AT108)</f>
        <v>0</v>
      </c>
      <c r="J76" s="116">
        <f>SUM('FY 09-11 DD 1416 Tracker-Total'!AU108)</f>
        <v>7058</v>
      </c>
      <c r="K76" s="59">
        <f t="shared" si="16"/>
        <v>80062</v>
      </c>
    </row>
    <row r="77" spans="1:11" ht="12.75">
      <c r="A77" s="50"/>
      <c r="B77" s="3" t="s">
        <v>29</v>
      </c>
      <c r="C77" s="24">
        <f>SUM('FY 09-11 DD 1416 Tracker-Total'!F109)</f>
        <v>54122</v>
      </c>
      <c r="D77" s="25">
        <f>SUM('FY 09-11 DD 1416 Tracker-Total'!J109)</f>
        <v>56122</v>
      </c>
      <c r="E77" s="26">
        <f>SUM('FY 09-11 DD 1416 Tracker-Total'!M109)</f>
        <v>-165</v>
      </c>
      <c r="F77" s="24">
        <v>0</v>
      </c>
      <c r="G77" s="348">
        <f>SUM('FY 09-11 DD 1416 Tracker-Total'!X109:Z109)-8100</f>
        <v>0</v>
      </c>
      <c r="H77" s="24">
        <v>0</v>
      </c>
      <c r="I77" s="94">
        <f>SUM('FY 09-11 DD 1416 Tracker-Total'!AA109:AT109)</f>
        <v>360</v>
      </c>
      <c r="J77" s="116">
        <f>SUM('FY 09-11 DD 1416 Tracker-Total'!AU109)</f>
        <v>2391</v>
      </c>
      <c r="K77" s="59">
        <f t="shared" si="16"/>
        <v>58708</v>
      </c>
    </row>
    <row r="78" spans="1:11" ht="12.75">
      <c r="A78" s="50"/>
      <c r="B78" s="3" t="s">
        <v>31</v>
      </c>
      <c r="C78" s="24">
        <f>SUM('FY 09-11 DD 1416 Tracker-Total'!F110)</f>
        <v>15689</v>
      </c>
      <c r="D78" s="25">
        <f>SUM('FY 09-11 DD 1416 Tracker-Total'!J110)</f>
        <v>23489</v>
      </c>
      <c r="E78" s="26">
        <f>SUM('FY 09-11 DD 1416 Tracker-Total'!M110)</f>
        <v>-69</v>
      </c>
      <c r="F78" s="24">
        <v>0</v>
      </c>
      <c r="G78" s="348">
        <f>SUM('FY 09-11 DD 1416 Tracker-Total'!X110:Z110)-16250</f>
        <v>0</v>
      </c>
      <c r="H78" s="24">
        <v>0</v>
      </c>
      <c r="I78" s="94">
        <f>SUM('FY 09-11 DD 1416 Tracker-Total'!AA110:AT110)</f>
        <v>0</v>
      </c>
      <c r="J78" s="116">
        <f>SUM('FY 09-11 DD 1416 Tracker-Total'!AU110)</f>
        <v>-103</v>
      </c>
      <c r="K78" s="59">
        <f t="shared" si="16"/>
        <v>23317</v>
      </c>
    </row>
    <row r="79" spans="1:11" ht="12.75">
      <c r="A79" s="50"/>
      <c r="B79" s="3" t="s">
        <v>32</v>
      </c>
      <c r="C79" s="24">
        <f>SUM('FY 09-11 DD 1416 Tracker-Total'!F111)</f>
        <v>1265</v>
      </c>
      <c r="D79" s="25">
        <f>SUM('FY 09-11 DD 1416 Tracker-Total'!J111)</f>
        <v>1265</v>
      </c>
      <c r="E79" s="26">
        <f>SUM('FY 09-11 DD 1416 Tracker-Total'!M111)</f>
        <v>-4</v>
      </c>
      <c r="F79" s="24">
        <v>0</v>
      </c>
      <c r="G79" s="26">
        <f>SUM('FY 09-11 DD 1416 Tracker-Total'!X111:Z111)</f>
        <v>0</v>
      </c>
      <c r="H79" s="24">
        <v>0</v>
      </c>
      <c r="I79" s="94">
        <f>SUM('FY 09-11 DD 1416 Tracker-Total'!AA111:AT111)</f>
        <v>0</v>
      </c>
      <c r="J79" s="116">
        <f>SUM('FY 09-11 DD 1416 Tracker-Total'!AU111)</f>
        <v>0</v>
      </c>
      <c r="K79" s="59">
        <f t="shared" si="16"/>
        <v>1261</v>
      </c>
    </row>
    <row r="80" spans="1:11" ht="12.75">
      <c r="A80" s="50"/>
      <c r="B80" s="3" t="s">
        <v>138</v>
      </c>
      <c r="C80" s="24">
        <f>SUM('FY 09-11 DD 1416 Tracker-Total'!F112)</f>
        <v>12484</v>
      </c>
      <c r="D80" s="25">
        <f>SUM('FY 09-11 DD 1416 Tracker-Total'!J112)</f>
        <v>12484</v>
      </c>
      <c r="E80" s="26">
        <f>SUM('FY 09-11 DD 1416 Tracker-Total'!M112)</f>
        <v>-37</v>
      </c>
      <c r="F80" s="24">
        <v>0</v>
      </c>
      <c r="G80" s="26">
        <f>SUM('FY 09-11 DD 1416 Tracker-Total'!X112:Z112)</f>
        <v>0</v>
      </c>
      <c r="H80" s="24">
        <v>0</v>
      </c>
      <c r="I80" s="94">
        <f>SUM('FY 09-11 DD 1416 Tracker-Total'!AA112:AT112)</f>
        <v>0</v>
      </c>
      <c r="J80" s="116">
        <f>SUM('FY 09-11 DD 1416 Tracker-Total'!AU112)</f>
        <v>0</v>
      </c>
      <c r="K80" s="59">
        <f t="shared" si="16"/>
        <v>12447</v>
      </c>
    </row>
    <row r="81" spans="1:11" ht="12.75">
      <c r="A81" s="50"/>
      <c r="B81" s="3" t="s">
        <v>33</v>
      </c>
      <c r="C81" s="24">
        <f>SUM('FY 09-11 DD 1416 Tracker-Total'!F113)</f>
        <v>18795</v>
      </c>
      <c r="D81" s="25">
        <f>SUM('FY 09-11 DD 1416 Tracker-Total'!J113)</f>
        <v>21675</v>
      </c>
      <c r="E81" s="26">
        <f>SUM('FY 09-11 DD 1416 Tracker-Total'!M113)</f>
        <v>-64</v>
      </c>
      <c r="F81" s="24">
        <v>0</v>
      </c>
      <c r="G81" s="26">
        <f>SUM('FY 09-11 DD 1416 Tracker-Total'!X113:Z113)</f>
        <v>0</v>
      </c>
      <c r="H81" s="24">
        <v>0</v>
      </c>
      <c r="I81" s="94">
        <f>SUM('FY 09-11 DD 1416 Tracker-Total'!AA113:AT113)</f>
        <v>0</v>
      </c>
      <c r="J81" s="116">
        <f>SUM('FY 09-11 DD 1416 Tracker-Total'!AU113)</f>
        <v>-503</v>
      </c>
      <c r="K81" s="59">
        <f t="shared" si="16"/>
        <v>21108</v>
      </c>
    </row>
    <row r="82" spans="1:11" ht="12.75">
      <c r="A82" s="50"/>
      <c r="B82" s="3" t="s">
        <v>34</v>
      </c>
      <c r="C82" s="24">
        <f>SUM('FY 09-11 DD 1416 Tracker-Total'!F114)</f>
        <v>3272</v>
      </c>
      <c r="D82" s="25">
        <f>SUM('FY 09-11 DD 1416 Tracker-Total'!J114)</f>
        <v>3272</v>
      </c>
      <c r="E82" s="26">
        <f>SUM('FY 09-11 DD 1416 Tracker-Total'!M114)</f>
        <v>-10</v>
      </c>
      <c r="F82" s="24">
        <v>0</v>
      </c>
      <c r="G82" s="26">
        <f>SUM('FY 09-11 DD 1416 Tracker-Total'!X114:Z114)</f>
        <v>0</v>
      </c>
      <c r="H82" s="24">
        <v>0</v>
      </c>
      <c r="I82" s="94">
        <f>SUM('FY 09-11 DD 1416 Tracker-Total'!AA114:AT114)</f>
        <v>0</v>
      </c>
      <c r="J82" s="116">
        <f>SUM('FY 09-11 DD 1416 Tracker-Total'!AU114)</f>
        <v>-651</v>
      </c>
      <c r="K82" s="59">
        <f t="shared" si="16"/>
        <v>2611</v>
      </c>
    </row>
    <row r="83" spans="1:11" ht="12.75">
      <c r="A83" s="50"/>
      <c r="B83" s="3" t="s">
        <v>35</v>
      </c>
      <c r="C83" s="24">
        <f>SUM('FY 09-11 DD 1416 Tracker-Total'!F115)</f>
        <v>3702</v>
      </c>
      <c r="D83" s="25">
        <f>SUM('FY 09-11 DD 1416 Tracker-Total'!J115)</f>
        <v>3702</v>
      </c>
      <c r="E83" s="26">
        <f>SUM('FY 09-11 DD 1416 Tracker-Total'!M115)</f>
        <v>-11</v>
      </c>
      <c r="F83" s="24">
        <v>0</v>
      </c>
      <c r="G83" s="94">
        <f>SUM('FY 09-11 DD 1416 Tracker-Total'!X115:Z115)</f>
        <v>-6400</v>
      </c>
      <c r="H83" s="24">
        <v>0</v>
      </c>
      <c r="I83" s="348">
        <f>SUM('FY 09-11 DD 1416 Tracker-Total'!AA115:AT115)-135000-600</f>
        <v>23400</v>
      </c>
      <c r="J83" s="116">
        <f>SUM('FY 09-11 DD 1416 Tracker-Total'!AU115)</f>
        <v>900</v>
      </c>
      <c r="K83" s="59">
        <f t="shared" si="16"/>
        <v>21591</v>
      </c>
    </row>
    <row r="84" spans="1:11" ht="12.75">
      <c r="A84" s="50"/>
      <c r="B84" s="3" t="s">
        <v>139</v>
      </c>
      <c r="C84" s="24">
        <f>SUM('FY 09-11 DD 1416 Tracker-Total'!F116)</f>
        <v>34151</v>
      </c>
      <c r="D84" s="25">
        <f>SUM('FY 09-11 DD 1416 Tracker-Total'!J116)</f>
        <v>36151</v>
      </c>
      <c r="E84" s="26">
        <f>SUM('FY 09-11 DD 1416 Tracker-Total'!M116)</f>
        <v>-107</v>
      </c>
      <c r="F84" s="24">
        <v>0</v>
      </c>
      <c r="G84" s="26">
        <f>SUM('FY 09-11 DD 1416 Tracker-Total'!X116:Z116)</f>
        <v>0</v>
      </c>
      <c r="H84" s="24">
        <v>0</v>
      </c>
      <c r="I84" s="94">
        <f>SUM('FY 09-11 DD 1416 Tracker-Total'!AA116:AT116)</f>
        <v>155</v>
      </c>
      <c r="J84" s="116">
        <f>SUM('FY 09-11 DD 1416 Tracker-Total'!AU116)</f>
        <v>0</v>
      </c>
      <c r="K84" s="59">
        <f t="shared" si="16"/>
        <v>36199</v>
      </c>
    </row>
    <row r="85" spans="1:11" ht="12.75">
      <c r="A85" s="50"/>
      <c r="B85" s="3" t="s">
        <v>140</v>
      </c>
      <c r="C85" s="24">
        <f>SUM('FY 09-11 DD 1416 Tracker-Total'!F117)</f>
        <v>21593</v>
      </c>
      <c r="D85" s="25">
        <f>SUM('FY 09-11 DD 1416 Tracker-Total'!J117)</f>
        <v>20000</v>
      </c>
      <c r="E85" s="26">
        <f>SUM('FY 09-11 DD 1416 Tracker-Total'!M117)</f>
        <v>-59</v>
      </c>
      <c r="F85" s="24">
        <v>0</v>
      </c>
      <c r="G85" s="26">
        <f>SUM('FY 09-11 DD 1416 Tracker-Total'!X117:Z117)</f>
        <v>0</v>
      </c>
      <c r="H85" s="24">
        <v>0</v>
      </c>
      <c r="I85" s="94">
        <f>SUM('FY 09-11 DD 1416 Tracker-Total'!AA117:AT117)</f>
        <v>0</v>
      </c>
      <c r="J85" s="116">
        <f>SUM('FY 09-11 DD 1416 Tracker-Total'!AU117)</f>
        <v>1059</v>
      </c>
      <c r="K85" s="59">
        <f t="shared" si="16"/>
        <v>21000</v>
      </c>
    </row>
    <row r="86" spans="1:11" ht="12.75">
      <c r="A86" s="50"/>
      <c r="B86" s="3" t="s">
        <v>36</v>
      </c>
      <c r="C86" s="24">
        <f>SUM('FY 09-11 DD 1416 Tracker-Total'!F118)</f>
        <v>11722</v>
      </c>
      <c r="D86" s="25">
        <f>SUM('FY 09-11 DD 1416 Tracker-Total'!J118)</f>
        <v>11722</v>
      </c>
      <c r="E86" s="26">
        <f>SUM('FY 09-11 DD 1416 Tracker-Total'!M118)</f>
        <v>-35</v>
      </c>
      <c r="F86" s="24">
        <v>0</v>
      </c>
      <c r="G86" s="26">
        <f>SUM('FY 09-11 DD 1416 Tracker-Total'!X118:Z118)</f>
        <v>0</v>
      </c>
      <c r="H86" s="24">
        <v>0</v>
      </c>
      <c r="I86" s="94">
        <f>SUM('FY 09-11 DD 1416 Tracker-Total'!AA118:AT118)</f>
        <v>0</v>
      </c>
      <c r="J86" s="116">
        <f>SUM('FY 09-11 DD 1416 Tracker-Total'!AU118)</f>
        <v>-2337</v>
      </c>
      <c r="K86" s="59">
        <f t="shared" si="16"/>
        <v>9350</v>
      </c>
    </row>
    <row r="87" spans="1:11" ht="12.75">
      <c r="A87" s="50"/>
      <c r="B87" s="3" t="s">
        <v>37</v>
      </c>
      <c r="C87" s="24">
        <f>SUM('FY 09-11 DD 1416 Tracker-Total'!F119)</f>
        <v>27194</v>
      </c>
      <c r="D87" s="25">
        <f>SUM('FY 09-11 DD 1416 Tracker-Total'!J119)</f>
        <v>55561</v>
      </c>
      <c r="E87" s="26">
        <f>SUM('FY 09-11 DD 1416 Tracker-Total'!M119)</f>
        <v>-164</v>
      </c>
      <c r="F87" s="24">
        <v>0</v>
      </c>
      <c r="G87" s="26">
        <f>SUM('FY 09-11 DD 1416 Tracker-Total'!X119:Z119)</f>
        <v>0</v>
      </c>
      <c r="H87" s="24">
        <v>0</v>
      </c>
      <c r="I87" s="94">
        <f>SUM('FY 09-11 DD 1416 Tracker-Total'!AA119:AT119)</f>
        <v>0</v>
      </c>
      <c r="J87" s="116">
        <f>SUM('FY 09-11 DD 1416 Tracker-Total'!AU119)</f>
        <v>0</v>
      </c>
      <c r="K87" s="59">
        <f t="shared" si="16"/>
        <v>55397</v>
      </c>
    </row>
    <row r="88" spans="1:11" ht="12.75">
      <c r="A88" s="50"/>
      <c r="B88" s="3" t="s">
        <v>220</v>
      </c>
      <c r="C88" s="24">
        <f>SUM('FY 09-11 DD 1416 Tracker-Total'!F120)</f>
        <v>55248</v>
      </c>
      <c r="D88" s="25">
        <f>SUM('FY 09-11 DD 1416 Tracker-Total'!J120)</f>
        <v>55248</v>
      </c>
      <c r="E88" s="26">
        <f>SUM('FY 09-11 DD 1416 Tracker-Total'!M120)</f>
        <v>-163</v>
      </c>
      <c r="F88" s="24">
        <v>0</v>
      </c>
      <c r="G88" s="26">
        <f>SUM('FY 09-11 DD 1416 Tracker-Total'!X120:Z120)</f>
        <v>0</v>
      </c>
      <c r="H88" s="24">
        <v>0</v>
      </c>
      <c r="I88" s="94">
        <f>SUM('FY 09-11 DD 1416 Tracker-Total'!AA120:AT120)</f>
        <v>0</v>
      </c>
      <c r="J88" s="116">
        <f>SUM('FY 09-11 DD 1416 Tracker-Total'!AU120)</f>
        <v>551</v>
      </c>
      <c r="K88" s="59">
        <f t="shared" si="16"/>
        <v>55636</v>
      </c>
    </row>
    <row r="89" spans="1:11" ht="12.75">
      <c r="A89" s="50"/>
      <c r="B89" s="117" t="s">
        <v>221</v>
      </c>
      <c r="C89" s="24">
        <f>SUM('FY 09-11 DD 1416 Tracker-Total'!F121)</f>
        <v>15862</v>
      </c>
      <c r="D89" s="25">
        <f>SUM('FY 09-11 DD 1416 Tracker-Total'!J121)</f>
        <v>15862</v>
      </c>
      <c r="E89" s="26">
        <f>SUM('FY 09-11 DD 1416 Tracker-Total'!M121)</f>
        <v>-47</v>
      </c>
      <c r="F89" s="24">
        <v>0</v>
      </c>
      <c r="G89" s="26">
        <f>SUM('FY 09-11 DD 1416 Tracker-Total'!X121:Z121)</f>
        <v>0</v>
      </c>
      <c r="H89" s="24">
        <v>0</v>
      </c>
      <c r="I89" s="94">
        <f>SUM('FY 09-11 DD 1416 Tracker-Total'!AA121:AT121)</f>
        <v>0</v>
      </c>
      <c r="J89" s="116">
        <f>SUM('FY 09-11 DD 1416 Tracker-Total'!AU121)</f>
        <v>-830</v>
      </c>
      <c r="K89" s="59">
        <f>SUM(D89:J89)</f>
        <v>14985</v>
      </c>
    </row>
    <row r="90" spans="1:11" ht="12.75">
      <c r="A90" s="50"/>
      <c r="B90" s="3" t="s">
        <v>223</v>
      </c>
      <c r="C90" s="24">
        <f>SUM('FY 09-11 DD 1416 Tracker-Total'!F122)</f>
        <v>25892</v>
      </c>
      <c r="D90" s="25">
        <f>SUM('FY 09-11 DD 1416 Tracker-Total'!J122)</f>
        <v>25892</v>
      </c>
      <c r="E90" s="26">
        <f>SUM('FY 09-11 DD 1416 Tracker-Total'!M122)</f>
        <v>-76</v>
      </c>
      <c r="F90" s="24">
        <v>0</v>
      </c>
      <c r="G90" s="26">
        <f>SUM('FY 09-11 DD 1416 Tracker-Total'!X122:Z122)+31953</f>
        <v>65703</v>
      </c>
      <c r="H90" s="24">
        <v>0</v>
      </c>
      <c r="I90" s="94">
        <f>SUM('FY 09-11 DD 1416 Tracker-Total'!AA122:AT122)</f>
        <v>0</v>
      </c>
      <c r="J90" s="116">
        <f>SUM('FY 09-11 DD 1416 Tracker-Total'!AU122)</f>
        <v>5000</v>
      </c>
      <c r="K90" s="59">
        <f>SUM(D90:J90)</f>
        <v>96519</v>
      </c>
    </row>
    <row r="91" spans="1:11" ht="12.75">
      <c r="A91" s="50"/>
      <c r="B91" s="117" t="s">
        <v>222</v>
      </c>
      <c r="C91" s="24">
        <f>SUM('FY 09-11 DD 1416 Tracker-Total'!F123)</f>
        <v>15455</v>
      </c>
      <c r="D91" s="25">
        <f>SUM('FY 09-11 DD 1416 Tracker-Total'!J123)</f>
        <v>19455</v>
      </c>
      <c r="E91" s="26">
        <f>SUM('FY 09-11 DD 1416 Tracker-Total'!M123)</f>
        <v>-57</v>
      </c>
      <c r="F91" s="24">
        <v>0</v>
      </c>
      <c r="G91" s="26">
        <f>SUM('FY 09-11 DD 1416 Tracker-Total'!X123:Z123)+16250</f>
        <v>16250</v>
      </c>
      <c r="H91" s="24">
        <v>0</v>
      </c>
      <c r="I91" s="94">
        <f>SUM('FY 09-11 DD 1416 Tracker-Total'!AA123:AT123)</f>
        <v>0</v>
      </c>
      <c r="J91" s="354">
        <f>SUM('FY 09-11 DD 1416 Tracker-Total'!AU123)</f>
        <v>-3917</v>
      </c>
      <c r="K91" s="355">
        <f>SUM(D91:J91)</f>
        <v>31731</v>
      </c>
    </row>
    <row r="92" spans="1:11" ht="12.75">
      <c r="A92" s="50"/>
      <c r="B92" s="117" t="s">
        <v>224</v>
      </c>
      <c r="C92" s="24">
        <f>SUM('FY 09-11 DD 1416 Tracker-Total'!F124)</f>
        <v>30201</v>
      </c>
      <c r="D92" s="25">
        <f>SUM('FY 09-11 DD 1416 Tracker-Total'!J124)</f>
        <v>25351</v>
      </c>
      <c r="E92" s="26">
        <f>SUM('FY 09-11 DD 1416 Tracker-Total'!M124)</f>
        <v>-75</v>
      </c>
      <c r="F92" s="24">
        <v>0</v>
      </c>
      <c r="G92" s="26">
        <f>SUM('FY 09-11 DD 1416 Tracker-Total'!X124:Z124)</f>
        <v>0</v>
      </c>
      <c r="H92" s="24">
        <v>0</v>
      </c>
      <c r="I92" s="94">
        <f>SUM('FY 09-11 DD 1416 Tracker-Total'!AA124:AT124)</f>
        <v>0</v>
      </c>
      <c r="J92" s="116">
        <f>SUM('FY 09-11 DD 1416 Tracker-Total'!AU124)</f>
        <v>37</v>
      </c>
      <c r="K92" s="59">
        <f>SUM(D92:J92)</f>
        <v>25313</v>
      </c>
    </row>
    <row r="93" spans="1:11" ht="12.75">
      <c r="A93" s="50"/>
      <c r="B93" s="117" t="s">
        <v>225</v>
      </c>
      <c r="C93" s="24">
        <f>SUM('FY 09-11 DD 1416 Tracker-Total'!F125)</f>
        <v>33966</v>
      </c>
      <c r="D93" s="25">
        <f>SUM('FY 09-11 DD 1416 Tracker-Total'!J125)</f>
        <v>23566</v>
      </c>
      <c r="E93" s="26">
        <f>SUM('FY 09-11 DD 1416 Tracker-Total'!M125)</f>
        <v>-69</v>
      </c>
      <c r="F93" s="24">
        <v>0</v>
      </c>
      <c r="G93" s="26">
        <f>SUM('FY 09-11 DD 1416 Tracker-Total'!X125:Z125)</f>
        <v>0</v>
      </c>
      <c r="H93" s="24">
        <v>0</v>
      </c>
      <c r="I93" s="94">
        <f>SUM('FY 09-11 DD 1416 Tracker-Total'!AA125:AT125)</f>
        <v>11162</v>
      </c>
      <c r="J93" s="116">
        <f>SUM('FY 09-11 DD 1416 Tracker-Total'!AU125)</f>
        <v>-3686</v>
      </c>
      <c r="K93" s="59">
        <f>SUM(D93:J93)</f>
        <v>30973</v>
      </c>
    </row>
    <row r="94" spans="1:11" ht="12.75">
      <c r="A94" s="50"/>
      <c r="B94" s="117" t="s">
        <v>38</v>
      </c>
      <c r="C94" s="24">
        <f>SUM('FY 09-11 DD 1416 Tracker-Total'!F126)</f>
        <v>13450</v>
      </c>
      <c r="D94" s="25">
        <f>SUM('FY 09-11 DD 1416 Tracker-Total'!J126)</f>
        <v>13450</v>
      </c>
      <c r="E94" s="26">
        <f>SUM('FY 09-11 DD 1416 Tracker-Total'!M126)</f>
        <v>-40</v>
      </c>
      <c r="F94" s="24">
        <v>0</v>
      </c>
      <c r="G94" s="26">
        <f>SUM('FY 09-11 DD 1416 Tracker-Total'!X126:Z126)</f>
        <v>0</v>
      </c>
      <c r="H94" s="24">
        <v>0</v>
      </c>
      <c r="I94" s="94">
        <f>SUM('FY 09-11 DD 1416 Tracker-Total'!AA126:AT126)</f>
        <v>0</v>
      </c>
      <c r="J94" s="116">
        <f>SUM('FY 09-11 DD 1416 Tracker-Total'!AU126)</f>
        <v>0</v>
      </c>
      <c r="K94" s="59">
        <f t="shared" si="16"/>
        <v>13410</v>
      </c>
    </row>
    <row r="95" spans="1:11" ht="12.75">
      <c r="A95" s="50"/>
      <c r="B95" s="117" t="s">
        <v>39</v>
      </c>
      <c r="C95" s="24">
        <f>SUM('FY 09-11 DD 1416 Tracker-Total'!F127)</f>
        <v>15331</v>
      </c>
      <c r="D95" s="25">
        <f>SUM('FY 09-11 DD 1416 Tracker-Total'!J127)</f>
        <v>15331</v>
      </c>
      <c r="E95" s="26">
        <f>SUM('FY 09-11 DD 1416 Tracker-Total'!M127)</f>
        <v>-45</v>
      </c>
      <c r="F95" s="24">
        <v>0</v>
      </c>
      <c r="G95" s="26">
        <f>SUM('FY 09-11 DD 1416 Tracker-Total'!X127:Z127)</f>
        <v>0</v>
      </c>
      <c r="H95" s="24">
        <v>0</v>
      </c>
      <c r="I95" s="94">
        <f>SUM('FY 09-11 DD 1416 Tracker-Total'!AA127:AT127)</f>
        <v>0</v>
      </c>
      <c r="J95" s="116">
        <f>SUM('FY 09-11 DD 1416 Tracker-Total'!AU127)</f>
        <v>-3006</v>
      </c>
      <c r="K95" s="59">
        <f t="shared" si="16"/>
        <v>12280</v>
      </c>
    </row>
    <row r="96" spans="1:11" ht="12.75">
      <c r="A96" s="50"/>
      <c r="B96" s="117" t="s">
        <v>198</v>
      </c>
      <c r="C96" s="24">
        <f>SUM('FY 09-11 DD 1416 Tracker-Total'!F128)</f>
        <v>315443</v>
      </c>
      <c r="D96" s="25">
        <f>SUM('FY 09-11 DD 1416 Tracker-Total'!J128)</f>
        <v>319443</v>
      </c>
      <c r="E96" s="26">
        <f>SUM('FY 09-11 DD 1416 Tracker-Total'!M128)</f>
        <v>-941</v>
      </c>
      <c r="F96" s="24">
        <v>0</v>
      </c>
      <c r="G96" s="26">
        <f>SUM('FY 09-11 DD 1416 Tracker-Total'!X128:Z128)-33750</f>
        <v>-31953</v>
      </c>
      <c r="H96" s="24">
        <v>0</v>
      </c>
      <c r="I96" s="94">
        <f>SUM('FY 09-11 DD 1416 Tracker-Total'!AA128:AT128)</f>
        <v>1549</v>
      </c>
      <c r="J96" s="116">
        <f>SUM('FY 09-11 DD 1416 Tracker-Total'!AU128)</f>
        <v>-11061</v>
      </c>
      <c r="K96" s="59">
        <f t="shared" si="16"/>
        <v>277037</v>
      </c>
    </row>
    <row r="97" spans="1:11" ht="12.75">
      <c r="A97" s="50"/>
      <c r="B97" s="117" t="s">
        <v>40</v>
      </c>
      <c r="C97" s="24">
        <f>SUM('FY 09-11 DD 1416 Tracker-Total'!F129)</f>
        <v>64778</v>
      </c>
      <c r="D97" s="25">
        <f>SUM('FY 09-11 DD 1416 Tracker-Total'!J129)</f>
        <v>55778</v>
      </c>
      <c r="E97" s="26">
        <f>SUM('FY 09-11 DD 1416 Tracker-Total'!M129)</f>
        <v>-164</v>
      </c>
      <c r="F97" s="24">
        <v>0</v>
      </c>
      <c r="G97" s="26">
        <f>SUM('FY 09-11 DD 1416 Tracker-Total'!X129:Z129)</f>
        <v>0</v>
      </c>
      <c r="H97" s="24">
        <v>0</v>
      </c>
      <c r="I97" s="94">
        <f>SUM('FY 09-11 DD 1416 Tracker-Total'!AA129:AT129)</f>
        <v>-18662</v>
      </c>
      <c r="J97" s="116">
        <f>SUM('FY 09-11 DD 1416 Tracker-Total'!AU129)</f>
        <v>-6124</v>
      </c>
      <c r="K97" s="59">
        <f t="shared" si="16"/>
        <v>30828</v>
      </c>
    </row>
    <row r="98" spans="1:11" ht="13.5" thickBot="1">
      <c r="A98" s="50"/>
      <c r="B98" s="31" t="s">
        <v>185</v>
      </c>
      <c r="C98" s="24">
        <f>SUM('FY 09-11 DD 1416 Tracker-Total'!F131)</f>
        <v>0</v>
      </c>
      <c r="D98" s="25">
        <f>SUM('FY 09-11 DD 1416 Tracker-Total'!J131)</f>
        <v>0</v>
      </c>
      <c r="E98" s="26">
        <f>SUM('FY 09-11 DD 1416 Tracker-Total'!M131)</f>
        <v>0</v>
      </c>
      <c r="F98" s="24">
        <v>0</v>
      </c>
      <c r="G98" s="26">
        <f>SUM('FY 09-11 DD 1416 Tracker-Total'!X131:Z131)</f>
        <v>0</v>
      </c>
      <c r="H98" s="24">
        <v>0</v>
      </c>
      <c r="I98" s="348">
        <f>SUM('FY 09-11 DD 1416 Tracker-Total'!AA131:AT131)-548</f>
        <v>2531</v>
      </c>
      <c r="J98" s="116">
        <f>SUM('FY 09-11 DD 1416 Tracker-Total'!AU131)</f>
        <v>0</v>
      </c>
      <c r="K98" s="59">
        <f t="shared" si="16"/>
        <v>2531</v>
      </c>
    </row>
    <row r="99" spans="1:13" s="11" customFormat="1" ht="13.5" thickBot="1">
      <c r="A99" s="247"/>
      <c r="B99" s="37" t="s">
        <v>233</v>
      </c>
      <c r="C99" s="252">
        <f aca="true" t="shared" si="17" ref="C99:J99">SUM(C63:C98)</f>
        <v>1450512</v>
      </c>
      <c r="D99" s="252">
        <f t="shared" si="17"/>
        <v>1487375</v>
      </c>
      <c r="E99" s="252">
        <f t="shared" si="17"/>
        <v>-4387</v>
      </c>
      <c r="F99" s="252">
        <f t="shared" si="17"/>
        <v>0</v>
      </c>
      <c r="G99" s="252">
        <f t="shared" si="17"/>
        <v>104240</v>
      </c>
      <c r="H99" s="252">
        <f t="shared" si="17"/>
        <v>0</v>
      </c>
      <c r="I99" s="252">
        <f t="shared" si="17"/>
        <v>156446</v>
      </c>
      <c r="J99" s="252">
        <f t="shared" si="17"/>
        <v>0</v>
      </c>
      <c r="K99" s="252">
        <f>SUM(K63:K98)+1</f>
        <v>1743675</v>
      </c>
      <c r="L99" s="11">
        <v>1605623</v>
      </c>
      <c r="M99" s="10">
        <f>SUM(L99-K99)</f>
        <v>-138052</v>
      </c>
    </row>
    <row r="100" spans="1:11" ht="12.75">
      <c r="A100" s="49"/>
      <c r="B100" s="40"/>
      <c r="C100" s="24"/>
      <c r="D100" s="25"/>
      <c r="E100" s="26"/>
      <c r="F100" s="24"/>
      <c r="G100" s="26"/>
      <c r="H100" s="24"/>
      <c r="I100" s="94"/>
      <c r="J100" s="116"/>
      <c r="K100" s="25"/>
    </row>
    <row r="101" spans="1:11" ht="12.75">
      <c r="A101" s="49" t="s">
        <v>173</v>
      </c>
      <c r="B101" s="3" t="s">
        <v>42</v>
      </c>
      <c r="C101" s="24">
        <f>SUM('FY 09-11 DD 1416 Tracker-Total'!F139)</f>
        <v>88565</v>
      </c>
      <c r="D101" s="25">
        <f>SUM('FY 09-11 DD 1416 Tracker-Total'!J139)</f>
        <v>88565</v>
      </c>
      <c r="E101" s="26">
        <f>SUM('FY 09-11 DD 1416 Tracker-Total'!M139)</f>
        <v>-261</v>
      </c>
      <c r="F101" s="24">
        <v>0</v>
      </c>
      <c r="G101" s="26">
        <f>SUM('DD 1416 As of 30 Jun 09'!U114:W114)</f>
        <v>0</v>
      </c>
      <c r="H101" s="24">
        <v>0</v>
      </c>
      <c r="I101" s="94">
        <f>SUM('FY 09-11 DD 1416 Tracker-Total'!AA139)</f>
        <v>0</v>
      </c>
      <c r="J101" s="116">
        <f>SUM('FY 09-11 DD 1416 Tracker-Total'!AU139)</f>
        <v>99</v>
      </c>
      <c r="K101" s="25">
        <f aca="true" t="shared" si="18" ref="K101:K106">SUM(D101:J101)</f>
        <v>88403</v>
      </c>
    </row>
    <row r="102" spans="1:11" ht="12.75">
      <c r="A102" s="49"/>
      <c r="B102" s="3" t="s">
        <v>43</v>
      </c>
      <c r="C102" s="24">
        <f>SUM('FY 09-11 DD 1416 Tracker-Total'!F140)</f>
        <v>80211</v>
      </c>
      <c r="D102" s="25">
        <f>SUM('FY 09-11 DD 1416 Tracker-Total'!J140)</f>
        <v>80211</v>
      </c>
      <c r="E102" s="26">
        <f>SUM('FY 09-11 DD 1416 Tracker-Total'!M140)</f>
        <v>-237</v>
      </c>
      <c r="F102" s="24">
        <v>0</v>
      </c>
      <c r="G102" s="26">
        <f>SUM('DD 1416 As of 30 Jun 09'!U115:W115)</f>
        <v>0</v>
      </c>
      <c r="H102" s="24">
        <v>0</v>
      </c>
      <c r="I102" s="94">
        <f>SUM('FY 09-11 DD 1416 Tracker-Total'!AA140)</f>
        <v>0</v>
      </c>
      <c r="J102" s="116">
        <f>SUM('FY 09-11 DD 1416 Tracker-Total'!AU140)</f>
        <v>-99</v>
      </c>
      <c r="K102" s="25">
        <f t="shared" si="18"/>
        <v>79875</v>
      </c>
    </row>
    <row r="103" spans="1:11" ht="12.75">
      <c r="A103" s="49"/>
      <c r="B103" s="3" t="s">
        <v>44</v>
      </c>
      <c r="C103" s="24">
        <f>SUM('FY 09-11 DD 1416 Tracker-Total'!F141)</f>
        <v>22299</v>
      </c>
      <c r="D103" s="25">
        <f>SUM('FY 09-11 DD 1416 Tracker-Total'!J141)</f>
        <v>25579</v>
      </c>
      <c r="E103" s="26">
        <f>SUM('FY 09-11 DD 1416 Tracker-Total'!M141)</f>
        <v>-75</v>
      </c>
      <c r="F103" s="24">
        <v>0</v>
      </c>
      <c r="G103" s="26">
        <f>SUM('DD 1416 As of 30 Jun 09'!U116:W116)</f>
        <v>0</v>
      </c>
      <c r="H103" s="24">
        <v>0</v>
      </c>
      <c r="I103" s="94">
        <f>SUM('FY 09-11 DD 1416 Tracker-Total'!AA141)</f>
        <v>0</v>
      </c>
      <c r="J103" s="116">
        <f>SUM('FY 09-11 DD 1416 Tracker-Total'!AU141)</f>
        <v>-5100</v>
      </c>
      <c r="K103" s="25">
        <f t="shared" si="18"/>
        <v>20404</v>
      </c>
    </row>
    <row r="104" spans="1:11" ht="12.75">
      <c r="A104" s="49"/>
      <c r="B104" s="3" t="s">
        <v>45</v>
      </c>
      <c r="C104" s="24">
        <f>SUM('FY 09-11 DD 1416 Tracker-Total'!F142)</f>
        <v>38702</v>
      </c>
      <c r="D104" s="25">
        <f>SUM('FY 09-11 DD 1416 Tracker-Total'!J142)</f>
        <v>38702</v>
      </c>
      <c r="E104" s="26">
        <f>SUM('FY 09-11 DD 1416 Tracker-Total'!M142)</f>
        <v>-114</v>
      </c>
      <c r="F104" s="24">
        <v>0</v>
      </c>
      <c r="G104" s="26">
        <f>SUM('DD 1416 As of 30 Jun 09'!U117:W117)</f>
        <v>0</v>
      </c>
      <c r="H104" s="24">
        <v>0</v>
      </c>
      <c r="I104" s="94">
        <f>SUM('FY 09-11 DD 1416 Tracker-Total'!AA142)</f>
        <v>0</v>
      </c>
      <c r="J104" s="116">
        <f>SUM('FY 09-11 DD 1416 Tracker-Total'!AU142)</f>
        <v>0</v>
      </c>
      <c r="K104" s="25">
        <f t="shared" si="18"/>
        <v>38588</v>
      </c>
    </row>
    <row r="105" spans="1:11" ht="12.75">
      <c r="A105" s="49"/>
      <c r="B105" s="3" t="s">
        <v>199</v>
      </c>
      <c r="C105" s="24">
        <f>SUM('FY 09-11 DD 1416 Tracker-Total'!F143)</f>
        <v>37784</v>
      </c>
      <c r="D105" s="25">
        <f>SUM('FY 09-11 DD 1416 Tracker-Total'!J143)</f>
        <v>37784</v>
      </c>
      <c r="E105" s="26">
        <f>SUM('FY 09-11 DD 1416 Tracker-Total'!M143)</f>
        <v>-111</v>
      </c>
      <c r="F105" s="24">
        <v>0</v>
      </c>
      <c r="G105" s="26">
        <f>SUM('DD 1416 As of 30 Jun 09'!U118:W118)</f>
        <v>0</v>
      </c>
      <c r="H105" s="24">
        <v>0</v>
      </c>
      <c r="I105" s="94">
        <f>SUM('FY 09-11 DD 1416 Tracker-Total'!AA143)</f>
        <v>0</v>
      </c>
      <c r="J105" s="116">
        <f>SUM('FY 09-11 DD 1416 Tracker-Total'!AU143)</f>
        <v>0</v>
      </c>
      <c r="K105" s="25">
        <f t="shared" si="18"/>
        <v>37673</v>
      </c>
    </row>
    <row r="106" spans="1:11" ht="13.5" thickBot="1">
      <c r="A106" s="49"/>
      <c r="B106" s="3" t="s">
        <v>46</v>
      </c>
      <c r="C106" s="24">
        <f>SUM('FY 09-11 DD 1416 Tracker-Total'!F144)</f>
        <v>199610</v>
      </c>
      <c r="D106" s="25">
        <f>SUM('FY 09-11 DD 1416 Tracker-Total'!J144)</f>
        <v>186160</v>
      </c>
      <c r="E106" s="26">
        <f>SUM('FY 09-11 DD 1416 Tracker-Total'!M144)</f>
        <v>-549</v>
      </c>
      <c r="F106" s="24">
        <v>0</v>
      </c>
      <c r="G106" s="26">
        <f>SUM('DD 1416 As of 30 Jun 09'!U119:W119)</f>
        <v>0</v>
      </c>
      <c r="H106" s="24">
        <v>0</v>
      </c>
      <c r="I106" s="94">
        <f>SUM('FY 09-11 DD 1416 Tracker-Total'!AA144)</f>
        <v>0</v>
      </c>
      <c r="J106" s="116">
        <f>SUM('FY 09-11 DD 1416 Tracker-Total'!AU144)</f>
        <v>5100</v>
      </c>
      <c r="K106" s="25">
        <f t="shared" si="18"/>
        <v>190711</v>
      </c>
    </row>
    <row r="107" spans="1:11" s="11" customFormat="1" ht="13.5" thickBot="1">
      <c r="A107" s="247"/>
      <c r="B107" s="37" t="s">
        <v>234</v>
      </c>
      <c r="C107" s="252">
        <f>SUM(C101:C106)</f>
        <v>467171</v>
      </c>
      <c r="D107" s="252">
        <f aca="true" t="shared" si="19" ref="D107:K107">SUM(D101:D106)</f>
        <v>457001</v>
      </c>
      <c r="E107" s="252">
        <f t="shared" si="19"/>
        <v>-1347</v>
      </c>
      <c r="F107" s="252">
        <f t="shared" si="19"/>
        <v>0</v>
      </c>
      <c r="G107" s="252">
        <f t="shared" si="19"/>
        <v>0</v>
      </c>
      <c r="H107" s="252">
        <f t="shared" si="19"/>
        <v>0</v>
      </c>
      <c r="I107" s="252">
        <f t="shared" si="19"/>
        <v>0</v>
      </c>
      <c r="J107" s="252">
        <f t="shared" si="19"/>
        <v>0</v>
      </c>
      <c r="K107" s="252">
        <f t="shared" si="19"/>
        <v>455654</v>
      </c>
    </row>
    <row r="108" spans="1:11" ht="12.75">
      <c r="A108" s="41"/>
      <c r="B108" s="42"/>
      <c r="C108" s="24"/>
      <c r="D108" s="29"/>
      <c r="E108" s="31"/>
      <c r="F108" s="33"/>
      <c r="G108" s="31"/>
      <c r="H108" s="33"/>
      <c r="I108" s="93"/>
      <c r="J108" s="123"/>
      <c r="K108" s="25"/>
    </row>
    <row r="109" spans="1:11" ht="12.75">
      <c r="A109" s="41" t="s">
        <v>235</v>
      </c>
      <c r="B109" s="3" t="s">
        <v>226</v>
      </c>
      <c r="C109" s="24">
        <v>0</v>
      </c>
      <c r="D109" s="25">
        <f>SUM('FY 09-11 DD 1416 Tracker-Total'!Q151)</f>
        <v>57100</v>
      </c>
      <c r="E109" s="26">
        <f>SUM('FY 09-11 DD 1416 Tracker-Total'!M151)</f>
        <v>-168</v>
      </c>
      <c r="F109" s="24">
        <v>0</v>
      </c>
      <c r="G109" s="26">
        <f>SUM('DD 1416 As of 30 Jun 09'!U122:W122)</f>
        <v>0</v>
      </c>
      <c r="H109" s="24">
        <v>0</v>
      </c>
      <c r="I109" s="94">
        <f>SUM('FY 09-11 DD 1416 Tracker-Total'!AA151)</f>
        <v>0</v>
      </c>
      <c r="J109" s="116">
        <f>SUM('FY 09-11 DD 1416 Tracker-Total'!AU151)</f>
        <v>0</v>
      </c>
      <c r="K109" s="25">
        <f>SUM(D109:J109)</f>
        <v>56932</v>
      </c>
    </row>
    <row r="110" spans="1:11" ht="13.5" thickBot="1">
      <c r="A110" s="41"/>
      <c r="B110" s="3" t="s">
        <v>227</v>
      </c>
      <c r="C110" s="24">
        <v>0</v>
      </c>
      <c r="D110" s="25">
        <f>SUM('FY 09-11 DD 1416 Tracker-Total'!Q152)</f>
        <v>105000</v>
      </c>
      <c r="E110" s="26">
        <f>SUM('FY 09-11 DD 1416 Tracker-Total'!M152)</f>
        <v>-310</v>
      </c>
      <c r="F110" s="24">
        <v>0</v>
      </c>
      <c r="G110" s="26">
        <f>SUM('DD 1416 As of 30 Jun 09'!U123:W123)</f>
        <v>0</v>
      </c>
      <c r="H110" s="24">
        <v>0</v>
      </c>
      <c r="I110" s="94">
        <f>SUM('FY 09-11 DD 1416 Tracker-Total'!AA152)</f>
        <v>0</v>
      </c>
      <c r="J110" s="116">
        <f>SUM('FY 09-11 DD 1416 Tracker-Total'!AU152)</f>
        <v>0</v>
      </c>
      <c r="K110" s="25">
        <f>SUM(D110:J110)</f>
        <v>104690</v>
      </c>
    </row>
    <row r="111" spans="1:11" s="11" customFormat="1" ht="13.5" thickBot="1">
      <c r="A111" s="247"/>
      <c r="B111" s="37" t="s">
        <v>236</v>
      </c>
      <c r="C111" s="252">
        <f>SUM(C109:C110)</f>
        <v>0</v>
      </c>
      <c r="D111" s="252">
        <f aca="true" t="shared" si="20" ref="D111:K111">SUM(D109:D110)</f>
        <v>162100</v>
      </c>
      <c r="E111" s="252">
        <f t="shared" si="20"/>
        <v>-478</v>
      </c>
      <c r="F111" s="252">
        <f t="shared" si="20"/>
        <v>0</v>
      </c>
      <c r="G111" s="252">
        <f t="shared" si="20"/>
        <v>0</v>
      </c>
      <c r="H111" s="252">
        <f t="shared" si="20"/>
        <v>0</v>
      </c>
      <c r="I111" s="252">
        <f t="shared" si="20"/>
        <v>0</v>
      </c>
      <c r="J111" s="252">
        <f t="shared" si="20"/>
        <v>0</v>
      </c>
      <c r="K111" s="252">
        <f t="shared" si="20"/>
        <v>161622</v>
      </c>
    </row>
    <row r="112" spans="1:11" ht="13.5" thickBot="1">
      <c r="A112" s="41"/>
      <c r="B112" s="42"/>
      <c r="C112" s="24"/>
      <c r="D112" s="29"/>
      <c r="E112" s="31"/>
      <c r="F112" s="33"/>
      <c r="G112" s="31"/>
      <c r="H112" s="33"/>
      <c r="I112" s="93"/>
      <c r="J112" s="123"/>
      <c r="K112" s="25"/>
    </row>
    <row r="113" spans="1:11" ht="13.5" thickBot="1">
      <c r="A113" s="267" t="s">
        <v>264</v>
      </c>
      <c r="B113" s="51" t="s">
        <v>265</v>
      </c>
      <c r="C113" s="252">
        <v>0</v>
      </c>
      <c r="D113" s="356">
        <v>0</v>
      </c>
      <c r="E113" s="357">
        <v>0</v>
      </c>
      <c r="F113" s="358">
        <v>0</v>
      </c>
      <c r="G113" s="356">
        <v>0</v>
      </c>
      <c r="H113" s="358">
        <v>0</v>
      </c>
      <c r="I113" s="358">
        <v>0</v>
      </c>
      <c r="J113" s="358">
        <v>0</v>
      </c>
      <c r="K113" s="250">
        <v>227524</v>
      </c>
    </row>
    <row r="114" spans="1:11" ht="13.5" thickBot="1">
      <c r="A114" s="41"/>
      <c r="B114" s="42"/>
      <c r="C114" s="24"/>
      <c r="D114" s="29"/>
      <c r="E114" s="31"/>
      <c r="F114" s="33"/>
      <c r="G114" s="31"/>
      <c r="H114" s="24"/>
      <c r="I114" s="93"/>
      <c r="J114" s="123"/>
      <c r="K114" s="25"/>
    </row>
    <row r="115" spans="1:11" s="256" customFormat="1" ht="13.5" thickBot="1">
      <c r="A115" s="43" t="s">
        <v>47</v>
      </c>
      <c r="B115" s="44" t="s">
        <v>164</v>
      </c>
      <c r="C115" s="252">
        <f>SUM('FY 09-11 DD 1416 Tracker-Class'!F49)</f>
        <v>671379</v>
      </c>
      <c r="D115" s="252">
        <f>SUM('FY 09-11 DD 1416 Tracker-Class'!J49)</f>
        <v>648379</v>
      </c>
      <c r="E115" s="253">
        <f>SUM('FY 09-11 DD 1416 Tracker-Class'!M49)</f>
        <v>-1912</v>
      </c>
      <c r="F115" s="252">
        <v>0</v>
      </c>
      <c r="G115" s="252">
        <f>63734+2863+223871-219380</f>
        <v>71088</v>
      </c>
      <c r="H115" s="252">
        <v>0</v>
      </c>
      <c r="I115" s="253">
        <f>-29911+31400+300-2000</f>
        <v>-211</v>
      </c>
      <c r="J115" s="252">
        <v>0</v>
      </c>
      <c r="K115" s="252">
        <f>SUM(D115:J115)</f>
        <v>717344</v>
      </c>
    </row>
    <row r="116" spans="1:11" s="22" customFormat="1" ht="13.5" thickBot="1">
      <c r="A116" s="224"/>
      <c r="B116" s="225"/>
      <c r="C116" s="116"/>
      <c r="D116" s="59"/>
      <c r="E116" s="94"/>
      <c r="F116" s="116"/>
      <c r="G116" s="94"/>
      <c r="H116" s="116"/>
      <c r="I116" s="94"/>
      <c r="J116" s="116"/>
      <c r="K116" s="96"/>
    </row>
    <row r="117" spans="1:11" s="10" customFormat="1" ht="13.5" thickBot="1">
      <c r="A117" s="43" t="s">
        <v>175</v>
      </c>
      <c r="B117" s="39" t="s">
        <v>59</v>
      </c>
      <c r="C117" s="252">
        <f>SUM(C61+C99+C107+C115)</f>
        <v>3164228</v>
      </c>
      <c r="D117" s="252">
        <f aca="true" t="shared" si="21" ref="D117:J117">SUM(D61+D99+D107+D111+D115)</f>
        <v>3306269</v>
      </c>
      <c r="E117" s="252">
        <f t="shared" si="21"/>
        <v>-9749</v>
      </c>
      <c r="F117" s="252">
        <f t="shared" si="21"/>
        <v>0</v>
      </c>
      <c r="G117" s="252">
        <f t="shared" si="21"/>
        <v>175328</v>
      </c>
      <c r="H117" s="252">
        <f t="shared" si="21"/>
        <v>0</v>
      </c>
      <c r="I117" s="252">
        <f t="shared" si="21"/>
        <v>152775</v>
      </c>
      <c r="J117" s="252">
        <f t="shared" si="21"/>
        <v>0</v>
      </c>
      <c r="K117" s="252">
        <f>SUM(K61+K99+K107+K111+K113+K115)</f>
        <v>3852148</v>
      </c>
    </row>
    <row r="118" ht="12.75">
      <c r="A118" s="50"/>
    </row>
    <row r="119" spans="1:12" ht="12.75">
      <c r="A119" s="50"/>
      <c r="L119" s="16"/>
    </row>
    <row r="120" ht="12.75">
      <c r="A120" s="50"/>
    </row>
    <row r="121" ht="12.75">
      <c r="A121" s="50"/>
    </row>
    <row r="122" spans="1:11" s="11" customFormat="1" ht="12.75">
      <c r="A122" s="216" t="s">
        <v>68</v>
      </c>
      <c r="B122" s="45"/>
      <c r="C122" s="46">
        <v>3164228</v>
      </c>
      <c r="D122" s="46">
        <v>3306269</v>
      </c>
      <c r="E122" s="46">
        <v>-9749</v>
      </c>
      <c r="F122" s="46">
        <v>0</v>
      </c>
      <c r="G122" s="46">
        <f>177237+237868-6400-5853-227524</f>
        <v>175328</v>
      </c>
      <c r="H122" s="46">
        <v>0</v>
      </c>
      <c r="I122" s="46">
        <v>9636</v>
      </c>
      <c r="J122" s="46">
        <v>0</v>
      </c>
      <c r="K122" s="46">
        <f>SUM(D122:I122)</f>
        <v>3481484</v>
      </c>
    </row>
    <row r="124" spans="1:11" s="11" customFormat="1" ht="12.75">
      <c r="A124" s="12" t="s">
        <v>266</v>
      </c>
      <c r="C124" s="10">
        <f>SUM(C117-C122)</f>
        <v>0</v>
      </c>
      <c r="D124" s="10">
        <f aca="true" t="shared" si="22" ref="D124:K124">SUM(D117-D122)</f>
        <v>0</v>
      </c>
      <c r="E124" s="10">
        <f t="shared" si="22"/>
        <v>0</v>
      </c>
      <c r="F124" s="10">
        <f t="shared" si="22"/>
        <v>0</v>
      </c>
      <c r="G124" s="10">
        <f t="shared" si="22"/>
        <v>0</v>
      </c>
      <c r="H124" s="10">
        <f t="shared" si="22"/>
        <v>0</v>
      </c>
      <c r="I124" s="360">
        <f t="shared" si="22"/>
        <v>143139</v>
      </c>
      <c r="J124" s="360">
        <f t="shared" si="22"/>
        <v>0</v>
      </c>
      <c r="K124" s="360">
        <f t="shared" si="22"/>
        <v>370664</v>
      </c>
    </row>
    <row r="125" ht="12.75">
      <c r="C125" s="16"/>
    </row>
    <row r="126" spans="1:11" ht="12.75">
      <c r="A126" s="12" t="s">
        <v>59</v>
      </c>
      <c r="C126" s="16">
        <f>SUM(C122:C124)</f>
        <v>3164228</v>
      </c>
      <c r="D126" s="16">
        <f aca="true" t="shared" si="23" ref="D126:K126">SUM(D122:D124)</f>
        <v>3306269</v>
      </c>
      <c r="E126" s="16">
        <f t="shared" si="23"/>
        <v>-9749</v>
      </c>
      <c r="F126" s="16">
        <f t="shared" si="23"/>
        <v>0</v>
      </c>
      <c r="G126" s="16">
        <f t="shared" si="23"/>
        <v>175328</v>
      </c>
      <c r="H126" s="16">
        <f t="shared" si="23"/>
        <v>0</v>
      </c>
      <c r="I126" s="16">
        <f t="shared" si="23"/>
        <v>152775</v>
      </c>
      <c r="J126" s="16">
        <f t="shared" si="23"/>
        <v>0</v>
      </c>
      <c r="K126" s="16">
        <f t="shared" si="23"/>
        <v>3852148</v>
      </c>
    </row>
    <row r="127" ht="12.75">
      <c r="C127" s="16"/>
    </row>
    <row r="128" ht="12.75">
      <c r="A128" s="12" t="s">
        <v>267</v>
      </c>
    </row>
  </sheetData>
  <sheetProtection/>
  <printOptions/>
  <pageMargins left="0.75" right="0.75" top="1" bottom="1" header="0.5" footer="0.5"/>
  <pageSetup fitToHeight="2"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28"/>
  <sheetViews>
    <sheetView zoomScalePageLayoutView="0" workbookViewId="0" topLeftCell="A1">
      <pane xSplit="1" ySplit="5" topLeftCell="F10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09" sqref="K109"/>
    </sheetView>
  </sheetViews>
  <sheetFormatPr defaultColWidth="9.140625" defaultRowHeight="12.75"/>
  <cols>
    <col min="1" max="1" width="51.140625" style="12" customWidth="1"/>
    <col min="2" max="2" width="56.7109375" style="27" customWidth="1"/>
    <col min="3" max="3" width="12.421875" style="27" customWidth="1"/>
    <col min="4" max="4" width="14.57421875" style="27" customWidth="1"/>
    <col min="5" max="5" width="15.8515625" style="27" customWidth="1"/>
    <col min="6" max="6" width="15.421875" style="27" customWidth="1"/>
    <col min="7" max="7" width="14.8515625" style="27" customWidth="1"/>
    <col min="8" max="8" width="15.421875" style="27" customWidth="1"/>
    <col min="9" max="9" width="14.140625" style="21" customWidth="1"/>
    <col min="10" max="10" width="14.28125" style="21" customWidth="1"/>
    <col min="11" max="11" width="11.57421875" style="16" customWidth="1"/>
    <col min="12" max="12" width="3.7109375" style="27" customWidth="1"/>
    <col min="13" max="13" width="9.140625" style="27" customWidth="1"/>
    <col min="14" max="14" width="9.7109375" style="27" bestFit="1" customWidth="1"/>
    <col min="15" max="16384" width="9.140625" style="27" customWidth="1"/>
  </cols>
  <sheetData>
    <row r="2" spans="4:10" ht="12.75">
      <c r="D2" s="227"/>
      <c r="H2" s="227"/>
      <c r="J2" s="249"/>
    </row>
    <row r="3" spans="2:10" ht="12.75">
      <c r="B3" s="21"/>
      <c r="D3" s="227"/>
      <c r="E3" s="69"/>
      <c r="H3" s="227"/>
      <c r="J3" s="249"/>
    </row>
    <row r="4" spans="4:10" ht="13.5" thickBot="1">
      <c r="D4" s="227"/>
      <c r="E4" s="112"/>
      <c r="G4" s="227"/>
      <c r="H4" s="227"/>
      <c r="I4" s="249"/>
      <c r="J4" s="249"/>
    </row>
    <row r="5" spans="1:12" ht="51" customHeight="1" thickBot="1">
      <c r="A5" s="48" t="s">
        <v>165</v>
      </c>
      <c r="B5" s="47" t="s">
        <v>166</v>
      </c>
      <c r="C5" s="53" t="s">
        <v>50</v>
      </c>
      <c r="D5" s="55" t="s">
        <v>51</v>
      </c>
      <c r="E5" s="53" t="s">
        <v>52</v>
      </c>
      <c r="F5" s="54" t="s">
        <v>53</v>
      </c>
      <c r="G5" s="54" t="s">
        <v>54</v>
      </c>
      <c r="H5" s="54" t="s">
        <v>55</v>
      </c>
      <c r="I5" s="54" t="s">
        <v>56</v>
      </c>
      <c r="J5" s="54" t="s">
        <v>57</v>
      </c>
      <c r="K5" s="219" t="s">
        <v>58</v>
      </c>
      <c r="L5" s="28"/>
    </row>
    <row r="6" spans="1:11" ht="12.75">
      <c r="A6" s="244"/>
      <c r="B6" s="29"/>
      <c r="C6" s="30"/>
      <c r="D6" s="29"/>
      <c r="E6" s="31"/>
      <c r="F6" s="30"/>
      <c r="G6" s="31"/>
      <c r="H6" s="30"/>
      <c r="I6" s="93"/>
      <c r="J6" s="122"/>
      <c r="K6" s="25"/>
    </row>
    <row r="7" spans="1:11" ht="12.75">
      <c r="A7" s="50"/>
      <c r="B7" s="32"/>
      <c r="C7" s="33"/>
      <c r="D7" s="29"/>
      <c r="E7" s="31"/>
      <c r="F7" s="33"/>
      <c r="G7" s="31"/>
      <c r="H7" s="33"/>
      <c r="I7" s="93"/>
      <c r="J7" s="123"/>
      <c r="K7" s="25"/>
    </row>
    <row r="8" spans="1:11" ht="12.75">
      <c r="A8" s="50" t="s">
        <v>63</v>
      </c>
      <c r="B8" s="7" t="s">
        <v>12</v>
      </c>
      <c r="C8" s="24">
        <v>105946</v>
      </c>
      <c r="D8" s="25">
        <v>105946</v>
      </c>
      <c r="E8" s="26">
        <v>-312</v>
      </c>
      <c r="F8" s="24">
        <v>0</v>
      </c>
      <c r="G8" s="26">
        <v>0</v>
      </c>
      <c r="H8" s="24">
        <v>0</v>
      </c>
      <c r="I8" s="94">
        <v>0</v>
      </c>
      <c r="J8" s="116">
        <v>0</v>
      </c>
      <c r="K8" s="25">
        <f>SUM(D8:J8)</f>
        <v>105634</v>
      </c>
    </row>
    <row r="9" spans="1:11" s="11" customFormat="1" ht="12.75">
      <c r="A9" s="257"/>
      <c r="B9" s="258" t="s">
        <v>113</v>
      </c>
      <c r="C9" s="260">
        <f aca="true" t="shared" si="0" ref="C9:I9">SUM(C8)</f>
        <v>105946</v>
      </c>
      <c r="D9" s="260">
        <f t="shared" si="0"/>
        <v>105946</v>
      </c>
      <c r="E9" s="260">
        <f t="shared" si="0"/>
        <v>-312</v>
      </c>
      <c r="F9" s="260">
        <f t="shared" si="0"/>
        <v>0</v>
      </c>
      <c r="G9" s="260">
        <f t="shared" si="0"/>
        <v>0</v>
      </c>
      <c r="H9" s="260">
        <f t="shared" si="0"/>
        <v>0</v>
      </c>
      <c r="I9" s="260">
        <f t="shared" si="0"/>
        <v>0</v>
      </c>
      <c r="J9" s="260">
        <f>SUM(J8:J8)</f>
        <v>0</v>
      </c>
      <c r="K9" s="260">
        <f>SUM(K8:K8)</f>
        <v>105634</v>
      </c>
    </row>
    <row r="10" spans="1:11" ht="12.75">
      <c r="A10" s="50"/>
      <c r="B10" s="23"/>
      <c r="C10" s="24"/>
      <c r="D10" s="25"/>
      <c r="E10" s="26"/>
      <c r="F10" s="24"/>
      <c r="G10" s="26"/>
      <c r="H10" s="24"/>
      <c r="I10" s="94"/>
      <c r="J10" s="116"/>
      <c r="K10" s="25"/>
    </row>
    <row r="11" spans="1:11" ht="12.75">
      <c r="A11" s="50" t="s">
        <v>65</v>
      </c>
      <c r="B11" t="s">
        <v>116</v>
      </c>
      <c r="C11" s="24">
        <f>SUM('FY 09-11 DD 1416 Tracker-Total'!P18)</f>
        <v>0</v>
      </c>
      <c r="D11" s="25">
        <f>SUM('FY 09-11 DD 1416 Tracker-Total'!J18)</f>
        <v>0</v>
      </c>
      <c r="E11" s="26">
        <f>SUM('FY 09-11 DD 1416 Tracker-Total'!M18)</f>
        <v>0</v>
      </c>
      <c r="F11" s="24">
        <v>0</v>
      </c>
      <c r="G11" s="26">
        <v>0</v>
      </c>
      <c r="H11" s="24">
        <v>0</v>
      </c>
      <c r="I11" s="94">
        <v>0</v>
      </c>
      <c r="J11" s="116">
        <v>0</v>
      </c>
      <c r="K11" s="59">
        <f>SUM(D11:J11)</f>
        <v>0</v>
      </c>
    </row>
    <row r="12" spans="1:11" ht="12.75">
      <c r="A12" s="50"/>
      <c r="B12" t="s">
        <v>12</v>
      </c>
      <c r="C12" s="24">
        <v>26649</v>
      </c>
      <c r="D12" s="25">
        <v>26649</v>
      </c>
      <c r="E12" s="26">
        <v>-79</v>
      </c>
      <c r="F12" s="24">
        <v>0</v>
      </c>
      <c r="G12" s="26">
        <v>0</v>
      </c>
      <c r="H12" s="24">
        <v>0</v>
      </c>
      <c r="I12" s="94">
        <v>0</v>
      </c>
      <c r="J12" s="116">
        <v>0</v>
      </c>
      <c r="K12" s="59">
        <f>SUM(D12:J12)</f>
        <v>26570</v>
      </c>
    </row>
    <row r="13" spans="1:11" s="11" customFormat="1" ht="12.75">
      <c r="A13" s="257"/>
      <c r="B13" s="259" t="s">
        <v>49</v>
      </c>
      <c r="C13" s="260">
        <f>SUM(C11:C12)</f>
        <v>26649</v>
      </c>
      <c r="D13" s="260">
        <f aca="true" t="shared" si="1" ref="D13:K13">SUM(D11:D12)</f>
        <v>26649</v>
      </c>
      <c r="E13" s="260">
        <f t="shared" si="1"/>
        <v>-79</v>
      </c>
      <c r="F13" s="260">
        <f t="shared" si="1"/>
        <v>0</v>
      </c>
      <c r="G13" s="260">
        <f t="shared" si="1"/>
        <v>0</v>
      </c>
      <c r="H13" s="260">
        <f t="shared" si="1"/>
        <v>0</v>
      </c>
      <c r="I13" s="260">
        <f t="shared" si="1"/>
        <v>0</v>
      </c>
      <c r="J13" s="260">
        <f t="shared" si="1"/>
        <v>0</v>
      </c>
      <c r="K13" s="260">
        <f t="shared" si="1"/>
        <v>26570</v>
      </c>
    </row>
    <row r="14" spans="1:11" ht="12.75">
      <c r="A14" s="50"/>
      <c r="B14" s="23"/>
      <c r="C14" s="24"/>
      <c r="D14" s="25"/>
      <c r="E14" s="26"/>
      <c r="F14" s="24"/>
      <c r="G14" s="26"/>
      <c r="H14" s="24"/>
      <c r="I14" s="94"/>
      <c r="J14" s="116"/>
      <c r="K14" s="25"/>
    </row>
    <row r="15" spans="1:11" ht="12.75">
      <c r="A15" s="50" t="s">
        <v>167</v>
      </c>
      <c r="B15" s="3" t="s">
        <v>6</v>
      </c>
      <c r="C15" s="24">
        <v>54934</v>
      </c>
      <c r="D15" s="25">
        <v>48734</v>
      </c>
      <c r="E15" s="26">
        <v>-144</v>
      </c>
      <c r="F15" s="24">
        <v>0</v>
      </c>
      <c r="G15" s="24">
        <v>0</v>
      </c>
      <c r="H15" s="24">
        <v>0</v>
      </c>
      <c r="I15" s="24">
        <v>0</v>
      </c>
      <c r="J15" s="24">
        <v>-1304</v>
      </c>
      <c r="K15" s="59">
        <f>SUM(D15:J15)</f>
        <v>47286</v>
      </c>
    </row>
    <row r="16" spans="1:11" ht="12.75">
      <c r="A16" s="50"/>
      <c r="B16" s="3" t="s">
        <v>248</v>
      </c>
      <c r="C16" s="24">
        <v>10973</v>
      </c>
      <c r="D16" s="25">
        <v>10973</v>
      </c>
      <c r="E16" s="26">
        <v>-32</v>
      </c>
      <c r="F16" s="24">
        <v>0</v>
      </c>
      <c r="G16" s="24">
        <v>0</v>
      </c>
      <c r="H16" s="24">
        <v>0</v>
      </c>
      <c r="I16" s="24">
        <v>0</v>
      </c>
      <c r="J16" s="24">
        <f>-500+-200</f>
        <v>-700</v>
      </c>
      <c r="K16" s="59">
        <f aca="true" t="shared" si="2" ref="K16:K25">SUM(D16:J16)</f>
        <v>10241</v>
      </c>
    </row>
    <row r="17" spans="1:11" ht="12.75">
      <c r="A17" s="50"/>
      <c r="B17" s="3" t="s">
        <v>7</v>
      </c>
      <c r="C17" s="24">
        <v>2788</v>
      </c>
      <c r="D17" s="25">
        <v>2788</v>
      </c>
      <c r="E17" s="26">
        <v>-8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59">
        <f t="shared" si="2"/>
        <v>2780</v>
      </c>
    </row>
    <row r="18" spans="1:11" ht="12.75">
      <c r="A18" s="50"/>
      <c r="B18" s="3" t="s">
        <v>8</v>
      </c>
      <c r="C18" s="24">
        <v>15062</v>
      </c>
      <c r="D18" s="25">
        <v>15062</v>
      </c>
      <c r="E18" s="26">
        <v>-44</v>
      </c>
      <c r="F18" s="24">
        <v>0</v>
      </c>
      <c r="G18" s="24">
        <v>0</v>
      </c>
      <c r="H18" s="24">
        <v>0</v>
      </c>
      <c r="I18" s="24">
        <v>0</v>
      </c>
      <c r="J18" s="24">
        <v>400</v>
      </c>
      <c r="K18" s="59">
        <f t="shared" si="2"/>
        <v>15418</v>
      </c>
    </row>
    <row r="19" spans="1:11" ht="12.75">
      <c r="A19" s="50"/>
      <c r="B19" s="3" t="s">
        <v>9</v>
      </c>
      <c r="C19" s="24">
        <v>121296</v>
      </c>
      <c r="D19" s="25">
        <v>111296</v>
      </c>
      <c r="E19" s="26">
        <v>-328</v>
      </c>
      <c r="F19" s="24">
        <v>0</v>
      </c>
      <c r="G19" s="24">
        <v>0</v>
      </c>
      <c r="H19" s="24">
        <v>0</v>
      </c>
      <c r="I19" s="24">
        <v>0</v>
      </c>
      <c r="J19" s="24">
        <v>3243</v>
      </c>
      <c r="K19" s="59">
        <f t="shared" si="2"/>
        <v>114211</v>
      </c>
    </row>
    <row r="20" spans="1:11" ht="12.75">
      <c r="A20" s="50"/>
      <c r="B20" s="3" t="s">
        <v>10</v>
      </c>
      <c r="C20" s="24">
        <v>36765</v>
      </c>
      <c r="D20" s="25">
        <v>36765</v>
      </c>
      <c r="E20" s="26">
        <v>-108</v>
      </c>
      <c r="F20" s="24">
        <v>0</v>
      </c>
      <c r="G20" s="24">
        <v>0</v>
      </c>
      <c r="H20" s="24">
        <v>0</v>
      </c>
      <c r="I20" s="24">
        <v>0</v>
      </c>
      <c r="J20" s="24">
        <v>-5958</v>
      </c>
      <c r="K20" s="59">
        <f t="shared" si="2"/>
        <v>30699</v>
      </c>
    </row>
    <row r="21" spans="1:11" ht="12.75">
      <c r="A21" s="50"/>
      <c r="B21" s="3" t="s">
        <v>197</v>
      </c>
      <c r="C21" s="24">
        <v>90328</v>
      </c>
      <c r="D21" s="25">
        <v>90328</v>
      </c>
      <c r="E21" s="26">
        <v>-266</v>
      </c>
      <c r="F21" s="24">
        <v>0</v>
      </c>
      <c r="G21" s="24">
        <v>0</v>
      </c>
      <c r="H21" s="24">
        <v>0</v>
      </c>
      <c r="I21" s="24">
        <v>0</v>
      </c>
      <c r="J21" s="24">
        <v>4319</v>
      </c>
      <c r="K21" s="59">
        <f t="shared" si="2"/>
        <v>94381</v>
      </c>
    </row>
    <row r="22" spans="1:11" ht="12.75">
      <c r="A22" s="50"/>
      <c r="B22" s="3" t="s">
        <v>203</v>
      </c>
      <c r="C22" s="24">
        <v>1895</v>
      </c>
      <c r="D22" s="25">
        <v>1894</v>
      </c>
      <c r="E22" s="26">
        <v>-6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59">
        <f t="shared" si="2"/>
        <v>1888</v>
      </c>
    </row>
    <row r="23" spans="1:11" ht="12.75">
      <c r="A23" s="50"/>
      <c r="B23" s="117" t="s">
        <v>184</v>
      </c>
      <c r="C23" s="24">
        <v>0</v>
      </c>
      <c r="D23" s="25">
        <v>0</v>
      </c>
      <c r="E23" s="26">
        <v>0</v>
      </c>
      <c r="F23" s="24">
        <v>0</v>
      </c>
      <c r="G23" s="24">
        <v>0</v>
      </c>
      <c r="H23" s="24">
        <v>0</v>
      </c>
      <c r="I23" s="24">
        <v>1316</v>
      </c>
      <c r="J23" s="24">
        <v>0</v>
      </c>
      <c r="K23" s="59">
        <f t="shared" si="2"/>
        <v>1316</v>
      </c>
    </row>
    <row r="24" spans="1:11" ht="12.75">
      <c r="A24" s="50"/>
      <c r="B24" s="117" t="s">
        <v>212</v>
      </c>
      <c r="C24" s="24">
        <v>7952</v>
      </c>
      <c r="D24" s="25">
        <v>4000</v>
      </c>
      <c r="E24" s="26">
        <v>-12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59">
        <f t="shared" si="2"/>
        <v>3988</v>
      </c>
    </row>
    <row r="25" spans="1:11" ht="12.75">
      <c r="A25" s="50"/>
      <c r="B25" s="117" t="s">
        <v>213</v>
      </c>
      <c r="C25" s="24">
        <v>19100</v>
      </c>
      <c r="D25" s="25">
        <v>19100</v>
      </c>
      <c r="E25" s="26">
        <v>-56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59">
        <f t="shared" si="2"/>
        <v>19044</v>
      </c>
    </row>
    <row r="26" spans="1:11" s="11" customFormat="1" ht="12.75">
      <c r="A26" s="257"/>
      <c r="B26" s="259" t="s">
        <v>67</v>
      </c>
      <c r="C26" s="260">
        <f>SUM(C15:C25)-1</f>
        <v>361092</v>
      </c>
      <c r="D26" s="260">
        <f aca="true" t="shared" si="3" ref="D26:K26">SUM(D15:D25)</f>
        <v>340940</v>
      </c>
      <c r="E26" s="261">
        <f t="shared" si="3"/>
        <v>-1004</v>
      </c>
      <c r="F26" s="260">
        <f t="shared" si="3"/>
        <v>0</v>
      </c>
      <c r="G26" s="262">
        <f t="shared" si="3"/>
        <v>0</v>
      </c>
      <c r="H26" s="260">
        <f t="shared" si="3"/>
        <v>0</v>
      </c>
      <c r="I26" s="260">
        <f t="shared" si="3"/>
        <v>1316</v>
      </c>
      <c r="J26" s="260">
        <f t="shared" si="3"/>
        <v>0</v>
      </c>
      <c r="K26" s="260">
        <f t="shared" si="3"/>
        <v>341252</v>
      </c>
    </row>
    <row r="27" spans="1:11" ht="12.75">
      <c r="A27" s="50"/>
      <c r="B27" s="23"/>
      <c r="C27" s="24"/>
      <c r="D27" s="25"/>
      <c r="E27" s="26"/>
      <c r="F27" s="24"/>
      <c r="G27" s="26"/>
      <c r="H27" s="24"/>
      <c r="I27" s="94"/>
      <c r="J27" s="116"/>
      <c r="K27" s="25"/>
    </row>
    <row r="28" spans="1:11" ht="12.75">
      <c r="A28" s="50" t="s">
        <v>61</v>
      </c>
      <c r="B28" t="s">
        <v>12</v>
      </c>
      <c r="C28" s="24">
        <v>8789</v>
      </c>
      <c r="D28" s="25">
        <v>8789</v>
      </c>
      <c r="E28" s="26">
        <v>-26</v>
      </c>
      <c r="F28" s="24">
        <v>0</v>
      </c>
      <c r="G28" s="26">
        <v>0</v>
      </c>
      <c r="H28" s="24">
        <v>0</v>
      </c>
      <c r="I28" s="94">
        <v>0</v>
      </c>
      <c r="J28" s="116">
        <v>0</v>
      </c>
      <c r="K28" s="59">
        <f>SUM(D28:J28)</f>
        <v>8763</v>
      </c>
    </row>
    <row r="29" spans="1:11" ht="12.75">
      <c r="A29" s="257"/>
      <c r="B29" s="259" t="s">
        <v>117</v>
      </c>
      <c r="C29" s="260">
        <f>SUM(C28)</f>
        <v>8789</v>
      </c>
      <c r="D29" s="260">
        <f aca="true" t="shared" si="4" ref="D29:K29">SUM(D28)</f>
        <v>8789</v>
      </c>
      <c r="E29" s="260">
        <f t="shared" si="4"/>
        <v>-26</v>
      </c>
      <c r="F29" s="260">
        <f t="shared" si="4"/>
        <v>0</v>
      </c>
      <c r="G29" s="260">
        <f t="shared" si="4"/>
        <v>0</v>
      </c>
      <c r="H29" s="260">
        <f t="shared" si="4"/>
        <v>0</v>
      </c>
      <c r="I29" s="260">
        <f t="shared" si="4"/>
        <v>0</v>
      </c>
      <c r="J29" s="260">
        <f t="shared" si="4"/>
        <v>0</v>
      </c>
      <c r="K29" s="260">
        <f t="shared" si="4"/>
        <v>8763</v>
      </c>
    </row>
    <row r="30" spans="1:11" ht="12.75">
      <c r="A30" s="50"/>
      <c r="B30" s="34"/>
      <c r="C30" s="24"/>
      <c r="D30" s="25"/>
      <c r="E30" s="26"/>
      <c r="F30" s="24"/>
      <c r="G30" s="26"/>
      <c r="H30" s="24"/>
      <c r="I30" s="94"/>
      <c r="J30" s="116"/>
      <c r="K30" s="25"/>
    </row>
    <row r="31" spans="1:11" ht="12.75">
      <c r="A31" s="50" t="s">
        <v>60</v>
      </c>
      <c r="B31" t="s">
        <v>118</v>
      </c>
      <c r="C31" s="24">
        <v>1523</v>
      </c>
      <c r="D31" s="25">
        <v>3923</v>
      </c>
      <c r="E31" s="26">
        <v>-12</v>
      </c>
      <c r="F31" s="24">
        <v>0</v>
      </c>
      <c r="G31" s="26">
        <v>0</v>
      </c>
      <c r="H31" s="24">
        <v>0</v>
      </c>
      <c r="I31" s="94">
        <v>0</v>
      </c>
      <c r="J31" s="116">
        <v>0</v>
      </c>
      <c r="K31" s="59">
        <f>SUM(D31:J31)</f>
        <v>3911</v>
      </c>
    </row>
    <row r="32" spans="1:11" s="11" customFormat="1" ht="12.75">
      <c r="A32" s="257"/>
      <c r="B32" s="259" t="s">
        <v>119</v>
      </c>
      <c r="C32" s="260">
        <f>SUM(C31)</f>
        <v>1523</v>
      </c>
      <c r="D32" s="260">
        <f aca="true" t="shared" si="5" ref="D32:K32">SUM(D31)</f>
        <v>3923</v>
      </c>
      <c r="E32" s="260">
        <f t="shared" si="5"/>
        <v>-12</v>
      </c>
      <c r="F32" s="260">
        <f t="shared" si="5"/>
        <v>0</v>
      </c>
      <c r="G32" s="260">
        <f t="shared" si="5"/>
        <v>0</v>
      </c>
      <c r="H32" s="260">
        <f t="shared" si="5"/>
        <v>0</v>
      </c>
      <c r="I32" s="260">
        <f t="shared" si="5"/>
        <v>0</v>
      </c>
      <c r="J32" s="260">
        <f t="shared" si="5"/>
        <v>0</v>
      </c>
      <c r="K32" s="260">
        <f t="shared" si="5"/>
        <v>3911</v>
      </c>
    </row>
    <row r="33" spans="1:11" ht="12.75">
      <c r="A33" s="50"/>
      <c r="B33" s="34"/>
      <c r="C33" s="24"/>
      <c r="D33" s="25"/>
      <c r="E33" s="26"/>
      <c r="F33" s="24"/>
      <c r="G33" s="26"/>
      <c r="H33" s="24"/>
      <c r="I33" s="94"/>
      <c r="J33" s="116"/>
      <c r="K33" s="25"/>
    </row>
    <row r="34" spans="1:11" ht="12.75">
      <c r="A34" s="50" t="s">
        <v>64</v>
      </c>
      <c r="B34" t="s">
        <v>12</v>
      </c>
      <c r="C34" s="24">
        <v>25897</v>
      </c>
      <c r="D34" s="25">
        <v>25897</v>
      </c>
      <c r="E34" s="26">
        <v>-86</v>
      </c>
      <c r="F34" s="24">
        <v>0</v>
      </c>
      <c r="G34" s="26">
        <v>0</v>
      </c>
      <c r="H34" s="24">
        <v>0</v>
      </c>
      <c r="I34" s="94">
        <v>-276</v>
      </c>
      <c r="J34" s="116">
        <v>0</v>
      </c>
      <c r="K34" s="59">
        <f>SUM(D34:J34)+2-1</f>
        <v>25536</v>
      </c>
    </row>
    <row r="35" spans="1:11" s="11" customFormat="1" ht="12.75">
      <c r="A35" s="257"/>
      <c r="B35" s="259" t="s">
        <v>121</v>
      </c>
      <c r="C35" s="260">
        <f>SUM(C34)</f>
        <v>25897</v>
      </c>
      <c r="D35" s="260">
        <f aca="true" t="shared" si="6" ref="D35:K35">SUM(D34)</f>
        <v>25897</v>
      </c>
      <c r="E35" s="260">
        <f t="shared" si="6"/>
        <v>-86</v>
      </c>
      <c r="F35" s="260">
        <f t="shared" si="6"/>
        <v>0</v>
      </c>
      <c r="G35" s="260">
        <f t="shared" si="6"/>
        <v>0</v>
      </c>
      <c r="H35" s="260">
        <f t="shared" si="6"/>
        <v>0</v>
      </c>
      <c r="I35" s="260">
        <f t="shared" si="6"/>
        <v>-276</v>
      </c>
      <c r="J35" s="260">
        <f t="shared" si="6"/>
        <v>0</v>
      </c>
      <c r="K35" s="260">
        <f t="shared" si="6"/>
        <v>25536</v>
      </c>
    </row>
    <row r="36" spans="1:11" ht="12.75">
      <c r="A36" s="50"/>
      <c r="B36" s="34"/>
      <c r="C36" s="24"/>
      <c r="D36" s="25"/>
      <c r="E36" s="26"/>
      <c r="F36" s="24"/>
      <c r="G36" s="26"/>
      <c r="H36" s="24"/>
      <c r="I36" s="94"/>
      <c r="J36" s="116"/>
      <c r="K36" s="25"/>
    </row>
    <row r="37" spans="1:11" ht="12.75">
      <c r="A37" s="50" t="s">
        <v>168</v>
      </c>
      <c r="B37" t="s">
        <v>15</v>
      </c>
      <c r="C37" s="24">
        <v>19214</v>
      </c>
      <c r="D37" s="25">
        <v>10014</v>
      </c>
      <c r="E37" s="26">
        <v>-30</v>
      </c>
      <c r="F37" s="24">
        <v>0</v>
      </c>
      <c r="G37" s="26">
        <v>0</v>
      </c>
      <c r="H37" s="24">
        <v>0</v>
      </c>
      <c r="I37" s="94">
        <v>0</v>
      </c>
      <c r="J37" s="116">
        <v>0</v>
      </c>
      <c r="K37" s="59">
        <f>SUM(D37:J37)</f>
        <v>9984</v>
      </c>
    </row>
    <row r="38" spans="1:11" s="11" customFormat="1" ht="12.75">
      <c r="A38" s="257"/>
      <c r="B38" s="259" t="s">
        <v>122</v>
      </c>
      <c r="C38" s="260">
        <f>SUM(C37)</f>
        <v>19214</v>
      </c>
      <c r="D38" s="260">
        <f aca="true" t="shared" si="7" ref="D38:K38">SUM(D37)</f>
        <v>10014</v>
      </c>
      <c r="E38" s="260">
        <f t="shared" si="7"/>
        <v>-30</v>
      </c>
      <c r="F38" s="260">
        <f t="shared" si="7"/>
        <v>0</v>
      </c>
      <c r="G38" s="260">
        <f t="shared" si="7"/>
        <v>0</v>
      </c>
      <c r="H38" s="260">
        <f t="shared" si="7"/>
        <v>0</v>
      </c>
      <c r="I38" s="260">
        <f t="shared" si="7"/>
        <v>0</v>
      </c>
      <c r="J38" s="260">
        <f t="shared" si="7"/>
        <v>0</v>
      </c>
      <c r="K38" s="260">
        <f t="shared" si="7"/>
        <v>9984</v>
      </c>
    </row>
    <row r="39" spans="1:11" ht="12.75">
      <c r="A39" s="50"/>
      <c r="B39" s="35"/>
      <c r="C39" s="24"/>
      <c r="D39" s="25"/>
      <c r="E39" s="26"/>
      <c r="F39" s="24"/>
      <c r="G39" s="26"/>
      <c r="H39" s="24"/>
      <c r="I39" s="94"/>
      <c r="J39" s="116"/>
      <c r="K39" s="25"/>
    </row>
    <row r="40" spans="1:11" ht="12.75">
      <c r="A40" s="50" t="s">
        <v>62</v>
      </c>
      <c r="B40" t="s">
        <v>17</v>
      </c>
      <c r="C40" s="24">
        <v>5621</v>
      </c>
      <c r="D40" s="25">
        <v>8821</v>
      </c>
      <c r="E40" s="26">
        <v>-17</v>
      </c>
      <c r="F40" s="24">
        <v>0</v>
      </c>
      <c r="G40" s="26">
        <v>0</v>
      </c>
      <c r="H40" s="24">
        <v>0</v>
      </c>
      <c r="I40" s="94">
        <v>0</v>
      </c>
      <c r="J40" s="116">
        <v>0</v>
      </c>
      <c r="K40" s="59">
        <f>SUM(D40:J40)</f>
        <v>8804</v>
      </c>
    </row>
    <row r="41" spans="1:11" s="11" customFormat="1" ht="12.75">
      <c r="A41" s="257"/>
      <c r="B41" s="259" t="s">
        <v>66</v>
      </c>
      <c r="C41" s="260">
        <f>SUM(C40)</f>
        <v>5621</v>
      </c>
      <c r="D41" s="260">
        <f aca="true" t="shared" si="8" ref="D41:K41">SUM(D40)</f>
        <v>8821</v>
      </c>
      <c r="E41" s="260">
        <f t="shared" si="8"/>
        <v>-17</v>
      </c>
      <c r="F41" s="260">
        <f t="shared" si="8"/>
        <v>0</v>
      </c>
      <c r="G41" s="260">
        <f t="shared" si="8"/>
        <v>0</v>
      </c>
      <c r="H41" s="260">
        <f t="shared" si="8"/>
        <v>0</v>
      </c>
      <c r="I41" s="260">
        <f t="shared" si="8"/>
        <v>0</v>
      </c>
      <c r="J41" s="260">
        <f t="shared" si="8"/>
        <v>0</v>
      </c>
      <c r="K41" s="260">
        <f t="shared" si="8"/>
        <v>8804</v>
      </c>
    </row>
    <row r="42" spans="1:11" ht="12.75">
      <c r="A42" s="50"/>
      <c r="B42" s="23"/>
      <c r="C42" s="24"/>
      <c r="D42" s="25"/>
      <c r="E42" s="26"/>
      <c r="F42" s="24"/>
      <c r="G42" s="26"/>
      <c r="H42" s="24"/>
      <c r="I42" s="94"/>
      <c r="J42" s="116"/>
      <c r="K42" s="25"/>
    </row>
    <row r="43" spans="1:11" ht="12.75">
      <c r="A43" s="50" t="s">
        <v>169</v>
      </c>
      <c r="B43" t="s">
        <v>12</v>
      </c>
      <c r="C43" s="24">
        <v>11158</v>
      </c>
      <c r="D43" s="25">
        <v>11158</v>
      </c>
      <c r="E43" s="26">
        <v>-33</v>
      </c>
      <c r="F43" s="24">
        <v>0</v>
      </c>
      <c r="G43" s="26">
        <v>0</v>
      </c>
      <c r="H43" s="24">
        <v>0</v>
      </c>
      <c r="I43" s="94">
        <v>0</v>
      </c>
      <c r="J43" s="116">
        <v>0</v>
      </c>
      <c r="K43" s="59">
        <f>SUM(D43:J43)</f>
        <v>11125</v>
      </c>
    </row>
    <row r="44" spans="1:11" s="11" customFormat="1" ht="12.75">
      <c r="A44" s="257"/>
      <c r="B44" s="259" t="s">
        <v>123</v>
      </c>
      <c r="C44" s="260">
        <f>SUM(C43)</f>
        <v>11158</v>
      </c>
      <c r="D44" s="260">
        <f aca="true" t="shared" si="9" ref="D44:K44">SUM(D43)</f>
        <v>11158</v>
      </c>
      <c r="E44" s="260">
        <f t="shared" si="9"/>
        <v>-33</v>
      </c>
      <c r="F44" s="260">
        <f t="shared" si="9"/>
        <v>0</v>
      </c>
      <c r="G44" s="260">
        <f t="shared" si="9"/>
        <v>0</v>
      </c>
      <c r="H44" s="260">
        <f t="shared" si="9"/>
        <v>0</v>
      </c>
      <c r="I44" s="260">
        <f t="shared" si="9"/>
        <v>0</v>
      </c>
      <c r="J44" s="260">
        <f t="shared" si="9"/>
        <v>0</v>
      </c>
      <c r="K44" s="260">
        <f t="shared" si="9"/>
        <v>11125</v>
      </c>
    </row>
    <row r="45" spans="1:11" ht="12.75">
      <c r="A45" s="50"/>
      <c r="B45" s="23"/>
      <c r="C45" s="24"/>
      <c r="D45" s="25"/>
      <c r="E45" s="26"/>
      <c r="F45" s="24"/>
      <c r="G45" s="26"/>
      <c r="H45" s="24"/>
      <c r="I45" s="94"/>
      <c r="J45" s="116"/>
      <c r="K45" s="25"/>
    </row>
    <row r="46" spans="1:11" ht="12.75">
      <c r="A46" s="50" t="s">
        <v>170</v>
      </c>
      <c r="B46" t="s">
        <v>124</v>
      </c>
      <c r="C46" s="24">
        <v>1498</v>
      </c>
      <c r="D46" s="25">
        <v>1498</v>
      </c>
      <c r="E46" s="26">
        <v>-4</v>
      </c>
      <c r="F46" s="24">
        <v>0</v>
      </c>
      <c r="G46" s="26">
        <v>0</v>
      </c>
      <c r="H46" s="24">
        <v>0</v>
      </c>
      <c r="I46" s="94">
        <v>0</v>
      </c>
      <c r="J46" s="116">
        <v>0</v>
      </c>
      <c r="K46" s="59">
        <f>SUM(D46:J46)</f>
        <v>1494</v>
      </c>
    </row>
    <row r="47" spans="1:11" s="11" customFormat="1" ht="12.75">
      <c r="A47" s="257"/>
      <c r="B47" s="259" t="s">
        <v>125</v>
      </c>
      <c r="C47" s="260">
        <f>SUM(C46)</f>
        <v>1498</v>
      </c>
      <c r="D47" s="260">
        <f aca="true" t="shared" si="10" ref="D47:K47">SUM(D46)</f>
        <v>1498</v>
      </c>
      <c r="E47" s="260">
        <f t="shared" si="10"/>
        <v>-4</v>
      </c>
      <c r="F47" s="260">
        <f t="shared" si="10"/>
        <v>0</v>
      </c>
      <c r="G47" s="260">
        <f t="shared" si="10"/>
        <v>0</v>
      </c>
      <c r="H47" s="260">
        <f t="shared" si="10"/>
        <v>0</v>
      </c>
      <c r="I47" s="260">
        <f t="shared" si="10"/>
        <v>0</v>
      </c>
      <c r="J47" s="260">
        <f t="shared" si="10"/>
        <v>0</v>
      </c>
      <c r="K47" s="260">
        <f t="shared" si="10"/>
        <v>1494</v>
      </c>
    </row>
    <row r="48" spans="1:11" ht="12.75">
      <c r="A48" s="50"/>
      <c r="B48" s="34"/>
      <c r="C48" s="24"/>
      <c r="D48" s="25"/>
      <c r="E48" s="26"/>
      <c r="F48" s="24"/>
      <c r="G48" s="26"/>
      <c r="H48" s="24"/>
      <c r="I48" s="94"/>
      <c r="J48" s="116"/>
      <c r="K48" s="25"/>
    </row>
    <row r="49" spans="1:11" ht="12.75">
      <c r="A49" s="50" t="s">
        <v>171</v>
      </c>
      <c r="B49" t="s">
        <v>12</v>
      </c>
      <c r="C49" s="24">
        <v>2149</v>
      </c>
      <c r="D49" s="25">
        <v>2149</v>
      </c>
      <c r="E49" s="26">
        <v>-6</v>
      </c>
      <c r="F49" s="24">
        <v>0</v>
      </c>
      <c r="G49" s="26">
        <v>0</v>
      </c>
      <c r="H49" s="24">
        <v>0</v>
      </c>
      <c r="I49" s="94">
        <v>0</v>
      </c>
      <c r="J49" s="116">
        <v>0</v>
      </c>
      <c r="K49" s="59">
        <f>SUM(D49:J49)</f>
        <v>2143</v>
      </c>
    </row>
    <row r="50" spans="1:11" s="11" customFormat="1" ht="12.75">
      <c r="A50" s="257"/>
      <c r="B50" s="259" t="s">
        <v>126</v>
      </c>
      <c r="C50" s="260">
        <f>SUM(C49)</f>
        <v>2149</v>
      </c>
      <c r="D50" s="260">
        <f aca="true" t="shared" si="11" ref="D50:K50">SUM(D49)</f>
        <v>2149</v>
      </c>
      <c r="E50" s="260">
        <f t="shared" si="11"/>
        <v>-6</v>
      </c>
      <c r="F50" s="260">
        <f t="shared" si="11"/>
        <v>0</v>
      </c>
      <c r="G50" s="260">
        <f t="shared" si="11"/>
        <v>0</v>
      </c>
      <c r="H50" s="260">
        <f t="shared" si="11"/>
        <v>0</v>
      </c>
      <c r="I50" s="260">
        <f t="shared" si="11"/>
        <v>0</v>
      </c>
      <c r="J50" s="260">
        <f t="shared" si="11"/>
        <v>0</v>
      </c>
      <c r="K50" s="260">
        <f t="shared" si="11"/>
        <v>2143</v>
      </c>
    </row>
    <row r="51" spans="1:11" ht="12.75">
      <c r="A51" s="50"/>
      <c r="B51" s="23"/>
      <c r="C51" s="24"/>
      <c r="D51" s="25"/>
      <c r="E51" s="26"/>
      <c r="F51" s="24"/>
      <c r="G51" s="26"/>
      <c r="H51" s="24"/>
      <c r="I51" s="94"/>
      <c r="J51" s="116"/>
      <c r="K51" s="25"/>
    </row>
    <row r="52" spans="1:11" ht="12.75">
      <c r="A52" s="50" t="s">
        <v>172</v>
      </c>
      <c r="B52" t="s">
        <v>12</v>
      </c>
      <c r="C52" s="24">
        <v>689</v>
      </c>
      <c r="D52" s="25">
        <v>689</v>
      </c>
      <c r="E52" s="26">
        <v>-2</v>
      </c>
      <c r="F52" s="24">
        <v>0</v>
      </c>
      <c r="G52" s="26">
        <v>0</v>
      </c>
      <c r="H52" s="24">
        <v>0</v>
      </c>
      <c r="I52" s="94">
        <v>0</v>
      </c>
      <c r="J52" s="116">
        <v>0</v>
      </c>
      <c r="K52" s="59">
        <f>SUM(D52:J52)</f>
        <v>687</v>
      </c>
    </row>
    <row r="53" spans="1:11" s="11" customFormat="1" ht="12.75">
      <c r="A53" s="257"/>
      <c r="B53" s="259" t="s">
        <v>127</v>
      </c>
      <c r="C53" s="260">
        <f>SUM(C52)</f>
        <v>689</v>
      </c>
      <c r="D53" s="260">
        <f aca="true" t="shared" si="12" ref="D53:K53">SUM(D52)</f>
        <v>689</v>
      </c>
      <c r="E53" s="260">
        <f t="shared" si="12"/>
        <v>-2</v>
      </c>
      <c r="F53" s="260">
        <f t="shared" si="12"/>
        <v>0</v>
      </c>
      <c r="G53" s="260">
        <f t="shared" si="12"/>
        <v>0</v>
      </c>
      <c r="H53" s="260">
        <f t="shared" si="12"/>
        <v>0</v>
      </c>
      <c r="I53" s="260">
        <f t="shared" si="12"/>
        <v>0</v>
      </c>
      <c r="J53" s="260">
        <f t="shared" si="12"/>
        <v>0</v>
      </c>
      <c r="K53" s="260">
        <f t="shared" si="12"/>
        <v>687</v>
      </c>
    </row>
    <row r="54" spans="1:11" s="11" customFormat="1" ht="12.75">
      <c r="A54" s="50"/>
      <c r="C54" s="56"/>
      <c r="D54" s="56"/>
      <c r="E54" s="56"/>
      <c r="F54" s="56"/>
      <c r="G54" s="56"/>
      <c r="H54" s="56"/>
      <c r="I54" s="124"/>
      <c r="J54" s="124"/>
      <c r="K54" s="56"/>
    </row>
    <row r="55" spans="1:11" s="11" customFormat="1" ht="12.75">
      <c r="A55" s="50" t="s">
        <v>205</v>
      </c>
      <c r="B55" s="27" t="s">
        <v>206</v>
      </c>
      <c r="C55" s="24">
        <v>436</v>
      </c>
      <c r="D55" s="25">
        <v>436</v>
      </c>
      <c r="E55" s="26">
        <v>-1</v>
      </c>
      <c r="F55" s="24">
        <v>0</v>
      </c>
      <c r="G55" s="26">
        <v>0</v>
      </c>
      <c r="H55" s="24">
        <v>0</v>
      </c>
      <c r="I55" s="94">
        <v>0</v>
      </c>
      <c r="J55" s="116">
        <v>0</v>
      </c>
      <c r="K55" s="59">
        <f>SUM(D55:J55)</f>
        <v>435</v>
      </c>
    </row>
    <row r="56" spans="1:11" s="11" customFormat="1" ht="12.75">
      <c r="A56" s="257"/>
      <c r="B56" s="259" t="s">
        <v>204</v>
      </c>
      <c r="C56" s="260">
        <f>SUM(C55)</f>
        <v>436</v>
      </c>
      <c r="D56" s="260">
        <f aca="true" t="shared" si="13" ref="D56:K56">SUM(D55)</f>
        <v>436</v>
      </c>
      <c r="E56" s="260">
        <f t="shared" si="13"/>
        <v>-1</v>
      </c>
      <c r="F56" s="260">
        <f t="shared" si="13"/>
        <v>0</v>
      </c>
      <c r="G56" s="260">
        <f t="shared" si="13"/>
        <v>0</v>
      </c>
      <c r="H56" s="260">
        <f t="shared" si="13"/>
        <v>0</v>
      </c>
      <c r="I56" s="260">
        <f t="shared" si="13"/>
        <v>0</v>
      </c>
      <c r="J56" s="260">
        <f t="shared" si="13"/>
        <v>0</v>
      </c>
      <c r="K56" s="260">
        <f t="shared" si="13"/>
        <v>435</v>
      </c>
    </row>
    <row r="57" spans="1:11" s="11" customFormat="1" ht="12.75">
      <c r="A57" s="50"/>
      <c r="C57" s="56"/>
      <c r="D57" s="56"/>
      <c r="E57" s="56"/>
      <c r="F57" s="56"/>
      <c r="G57" s="56"/>
      <c r="H57" s="56"/>
      <c r="I57" s="124"/>
      <c r="J57" s="124"/>
      <c r="K57" s="56"/>
    </row>
    <row r="58" spans="1:11" s="11" customFormat="1" ht="12.75">
      <c r="A58" s="50" t="s">
        <v>179</v>
      </c>
      <c r="B58" s="93" t="s">
        <v>4</v>
      </c>
      <c r="C58" s="116">
        <v>4505</v>
      </c>
      <c r="D58" s="25">
        <v>4505</v>
      </c>
      <c r="E58" s="116">
        <v>-13</v>
      </c>
      <c r="F58" s="116">
        <v>0</v>
      </c>
      <c r="G58" s="26">
        <v>0</v>
      </c>
      <c r="H58" s="116">
        <v>0</v>
      </c>
      <c r="I58" s="94">
        <v>0</v>
      </c>
      <c r="J58" s="116">
        <f>SUM('FY 09-11 DD 1416 Tracker-Total'!AU70)</f>
        <v>0</v>
      </c>
      <c r="K58" s="59">
        <f>SUM(D58:J58)</f>
        <v>4492</v>
      </c>
    </row>
    <row r="59" spans="1:11" s="11" customFormat="1" ht="12.75">
      <c r="A59" s="257"/>
      <c r="B59" s="259" t="s">
        <v>48</v>
      </c>
      <c r="C59" s="260">
        <f aca="true" t="shared" si="14" ref="C59:K59">SUM(C58)</f>
        <v>4505</v>
      </c>
      <c r="D59" s="260">
        <f t="shared" si="14"/>
        <v>4505</v>
      </c>
      <c r="E59" s="260">
        <f t="shared" si="14"/>
        <v>-13</v>
      </c>
      <c r="F59" s="260">
        <f t="shared" si="14"/>
        <v>0</v>
      </c>
      <c r="G59" s="260">
        <f t="shared" si="14"/>
        <v>0</v>
      </c>
      <c r="H59" s="260">
        <f t="shared" si="14"/>
        <v>0</v>
      </c>
      <c r="I59" s="260">
        <f t="shared" si="14"/>
        <v>0</v>
      </c>
      <c r="J59" s="260">
        <f t="shared" si="14"/>
        <v>0</v>
      </c>
      <c r="K59" s="260">
        <f t="shared" si="14"/>
        <v>4492</v>
      </c>
    </row>
    <row r="60" spans="1:11" s="11" customFormat="1" ht="13.5" thickBot="1">
      <c r="A60" s="50"/>
      <c r="C60" s="56"/>
      <c r="D60" s="56"/>
      <c r="E60" s="56"/>
      <c r="F60" s="56"/>
      <c r="G60" s="56"/>
      <c r="H60" s="56"/>
      <c r="I60" s="124"/>
      <c r="J60" s="124"/>
      <c r="K60" s="56"/>
    </row>
    <row r="61" spans="1:11" s="52" customFormat="1" ht="13.5" thickBot="1">
      <c r="A61" s="245"/>
      <c r="B61" s="51" t="s">
        <v>232</v>
      </c>
      <c r="C61" s="38">
        <f>SUM(C9+C13+C26+C29+C32+C35+C38+C41+C44+C47+C50+C53+C56+C59)</f>
        <v>575166</v>
      </c>
      <c r="D61" s="38">
        <f aca="true" t="shared" si="15" ref="D61:K61">SUM(D9+D13+D26+D29+D32+D35+D38+D41+D44+D47+D50+D53+D56+D59)</f>
        <v>551414</v>
      </c>
      <c r="E61" s="38">
        <f t="shared" si="15"/>
        <v>-1625</v>
      </c>
      <c r="F61" s="38">
        <f t="shared" si="15"/>
        <v>0</v>
      </c>
      <c r="G61" s="38">
        <f t="shared" si="15"/>
        <v>0</v>
      </c>
      <c r="H61" s="38">
        <f t="shared" si="15"/>
        <v>0</v>
      </c>
      <c r="I61" s="38">
        <f t="shared" si="15"/>
        <v>1040</v>
      </c>
      <c r="J61" s="38">
        <f t="shared" si="15"/>
        <v>0</v>
      </c>
      <c r="K61" s="38">
        <f t="shared" si="15"/>
        <v>550830</v>
      </c>
    </row>
    <row r="62" spans="1:11" ht="12.75">
      <c r="A62" s="246"/>
      <c r="B62" s="36"/>
      <c r="C62" s="24"/>
      <c r="D62" s="25"/>
      <c r="E62" s="26"/>
      <c r="F62" s="24"/>
      <c r="G62" s="26"/>
      <c r="H62" s="24"/>
      <c r="I62" s="94"/>
      <c r="J62" s="116"/>
      <c r="K62" s="25"/>
    </row>
    <row r="63" spans="1:11" ht="12.75">
      <c r="A63" s="50" t="s">
        <v>174</v>
      </c>
      <c r="B63" s="3" t="s">
        <v>22</v>
      </c>
      <c r="C63" s="24">
        <v>51950</v>
      </c>
      <c r="D63" s="25">
        <v>89350</v>
      </c>
      <c r="E63" s="26">
        <v>-153</v>
      </c>
      <c r="F63" s="24">
        <v>0</v>
      </c>
      <c r="G63" s="26">
        <v>0</v>
      </c>
      <c r="H63" s="24">
        <v>0</v>
      </c>
      <c r="I63" s="94">
        <v>0</v>
      </c>
      <c r="J63" s="116">
        <v>-3984</v>
      </c>
      <c r="K63" s="59">
        <f>SUM(D63:J63)</f>
        <v>85213</v>
      </c>
    </row>
    <row r="64" spans="1:11" ht="12.75">
      <c r="A64" s="50"/>
      <c r="B64" s="3" t="s">
        <v>254</v>
      </c>
      <c r="C64" s="24">
        <v>63667</v>
      </c>
      <c r="D64" s="25">
        <v>63667</v>
      </c>
      <c r="E64" s="26">
        <v>-188</v>
      </c>
      <c r="F64" s="24">
        <v>0</v>
      </c>
      <c r="G64" s="26">
        <v>0</v>
      </c>
      <c r="H64" s="24">
        <v>0</v>
      </c>
      <c r="I64" s="94">
        <v>0</v>
      </c>
      <c r="J64" s="116">
        <v>11201</v>
      </c>
      <c r="K64" s="59">
        <f aca="true" t="shared" si="16" ref="K64:K98">SUM(D64:J64)</f>
        <v>74680</v>
      </c>
    </row>
    <row r="65" spans="1:11" ht="12.75">
      <c r="A65" s="50"/>
      <c r="B65" s="3" t="s">
        <v>23</v>
      </c>
      <c r="C65" s="24">
        <v>98163</v>
      </c>
      <c r="D65" s="25">
        <v>98163</v>
      </c>
      <c r="E65" s="26">
        <v>-400</v>
      </c>
      <c r="F65" s="24">
        <v>0</v>
      </c>
      <c r="G65" s="26">
        <v>0</v>
      </c>
      <c r="H65" s="24">
        <v>0</v>
      </c>
      <c r="I65" s="94">
        <v>0</v>
      </c>
      <c r="J65" s="116">
        <v>-1800</v>
      </c>
      <c r="K65" s="59">
        <f t="shared" si="16"/>
        <v>95963</v>
      </c>
    </row>
    <row r="66" spans="1:11" ht="12.75">
      <c r="A66" s="50"/>
      <c r="B66" s="3" t="s">
        <v>133</v>
      </c>
      <c r="C66" s="24">
        <v>39172</v>
      </c>
      <c r="D66" s="25">
        <v>39172</v>
      </c>
      <c r="E66" s="26">
        <v>-116</v>
      </c>
      <c r="F66" s="24">
        <v>0</v>
      </c>
      <c r="G66" s="26">
        <v>0</v>
      </c>
      <c r="H66" s="24">
        <v>0</v>
      </c>
      <c r="I66" s="94">
        <v>0</v>
      </c>
      <c r="J66" s="116">
        <v>10740</v>
      </c>
      <c r="K66" s="59">
        <f t="shared" si="16"/>
        <v>49796</v>
      </c>
    </row>
    <row r="67" spans="1:11" ht="12.75">
      <c r="A67" s="50"/>
      <c r="B67" s="3" t="s">
        <v>134</v>
      </c>
      <c r="C67" s="24">
        <v>36286</v>
      </c>
      <c r="D67" s="25">
        <v>11286</v>
      </c>
      <c r="E67" s="26">
        <v>-33</v>
      </c>
      <c r="F67" s="24">
        <v>0</v>
      </c>
      <c r="G67" s="26">
        <v>0</v>
      </c>
      <c r="H67" s="24">
        <v>0</v>
      </c>
      <c r="I67" s="94">
        <v>0</v>
      </c>
      <c r="J67" s="116">
        <v>0</v>
      </c>
      <c r="K67" s="59">
        <f t="shared" si="16"/>
        <v>11253</v>
      </c>
    </row>
    <row r="68" spans="1:11" ht="12.75">
      <c r="A68" s="50"/>
      <c r="B68" s="3" t="s">
        <v>219</v>
      </c>
      <c r="C68" s="24">
        <v>7659</v>
      </c>
      <c r="D68" s="25">
        <v>7659</v>
      </c>
      <c r="E68" s="26">
        <v>-23</v>
      </c>
      <c r="F68" s="24">
        <v>0</v>
      </c>
      <c r="G68" s="26">
        <v>0</v>
      </c>
      <c r="H68" s="24">
        <v>0</v>
      </c>
      <c r="I68" s="94">
        <v>0</v>
      </c>
      <c r="J68" s="116">
        <v>0</v>
      </c>
      <c r="K68" s="59">
        <f t="shared" si="16"/>
        <v>7636</v>
      </c>
    </row>
    <row r="69" spans="1:11" ht="12.75">
      <c r="A69" s="50"/>
      <c r="B69" s="3" t="s">
        <v>24</v>
      </c>
      <c r="C69" s="24">
        <v>162971</v>
      </c>
      <c r="D69" s="25">
        <v>162971</v>
      </c>
      <c r="E69" s="26">
        <v>-481</v>
      </c>
      <c r="F69" s="24">
        <v>0</v>
      </c>
      <c r="G69" s="26">
        <v>0</v>
      </c>
      <c r="H69" s="24">
        <v>0</v>
      </c>
      <c r="I69" s="94">
        <v>0</v>
      </c>
      <c r="J69" s="116">
        <v>-7460</v>
      </c>
      <c r="K69" s="59">
        <f t="shared" si="16"/>
        <v>155030</v>
      </c>
    </row>
    <row r="70" spans="1:11" ht="12.75">
      <c r="A70" s="50"/>
      <c r="B70" s="3" t="s">
        <v>25</v>
      </c>
      <c r="C70" s="24">
        <v>47018</v>
      </c>
      <c r="D70" s="25">
        <v>33277</v>
      </c>
      <c r="E70" s="26">
        <v>-98</v>
      </c>
      <c r="F70" s="24">
        <v>0</v>
      </c>
      <c r="G70" s="26">
        <v>17000</v>
      </c>
      <c r="H70" s="24">
        <v>0</v>
      </c>
      <c r="I70" s="94">
        <v>0</v>
      </c>
      <c r="J70" s="116">
        <v>-2392</v>
      </c>
      <c r="K70" s="59">
        <f t="shared" si="16"/>
        <v>47787</v>
      </c>
    </row>
    <row r="71" spans="1:11" ht="12.75">
      <c r="A71" s="50"/>
      <c r="B71" s="3" t="s">
        <v>26</v>
      </c>
      <c r="C71" s="24">
        <v>1347</v>
      </c>
      <c r="D71" s="25">
        <v>1347</v>
      </c>
      <c r="E71" s="26">
        <v>-4</v>
      </c>
      <c r="F71" s="24">
        <v>0</v>
      </c>
      <c r="G71" s="26">
        <v>0</v>
      </c>
      <c r="H71" s="24">
        <v>0</v>
      </c>
      <c r="I71" s="94">
        <v>0</v>
      </c>
      <c r="J71" s="116">
        <v>-237</v>
      </c>
      <c r="K71" s="59">
        <f t="shared" si="16"/>
        <v>1106</v>
      </c>
    </row>
    <row r="72" spans="1:11" ht="12.75">
      <c r="A72" s="50"/>
      <c r="B72" s="3" t="s">
        <v>27</v>
      </c>
      <c r="C72" s="24">
        <v>5760</v>
      </c>
      <c r="D72" s="25">
        <v>5760</v>
      </c>
      <c r="E72" s="26">
        <v>-17</v>
      </c>
      <c r="F72" s="24">
        <v>0</v>
      </c>
      <c r="G72" s="26">
        <v>0</v>
      </c>
      <c r="H72" s="24">
        <v>0</v>
      </c>
      <c r="I72" s="94">
        <v>0</v>
      </c>
      <c r="J72" s="116">
        <v>0</v>
      </c>
      <c r="K72" s="59">
        <f t="shared" si="16"/>
        <v>5743</v>
      </c>
    </row>
    <row r="73" spans="1:11" ht="12.75">
      <c r="A73" s="50"/>
      <c r="B73" s="3" t="s">
        <v>28</v>
      </c>
      <c r="C73" s="24">
        <v>7061</v>
      </c>
      <c r="D73" s="25">
        <v>7061</v>
      </c>
      <c r="E73" s="26">
        <v>-21</v>
      </c>
      <c r="F73" s="24">
        <v>0</v>
      </c>
      <c r="G73" s="26">
        <v>0</v>
      </c>
      <c r="H73" s="24">
        <v>0</v>
      </c>
      <c r="I73" s="94">
        <v>0</v>
      </c>
      <c r="J73" s="116">
        <v>0</v>
      </c>
      <c r="K73" s="59">
        <f t="shared" si="16"/>
        <v>7040</v>
      </c>
    </row>
    <row r="74" spans="1:11" ht="12.75">
      <c r="A74" s="50"/>
      <c r="B74" s="3" t="s">
        <v>135</v>
      </c>
      <c r="C74" s="24">
        <v>67083</v>
      </c>
      <c r="D74" s="25">
        <v>67083</v>
      </c>
      <c r="E74" s="26">
        <v>-198</v>
      </c>
      <c r="F74" s="24">
        <v>0</v>
      </c>
      <c r="G74" s="26">
        <v>43640</v>
      </c>
      <c r="H74" s="24">
        <v>0</v>
      </c>
      <c r="I74" s="94">
        <v>0</v>
      </c>
      <c r="J74" s="116">
        <v>-4924</v>
      </c>
      <c r="K74" s="59">
        <f t="shared" si="16"/>
        <v>105601</v>
      </c>
    </row>
    <row r="75" spans="1:11" ht="12.75">
      <c r="A75" s="50"/>
      <c r="B75" s="3" t="s">
        <v>136</v>
      </c>
      <c r="C75" s="24">
        <v>5540</v>
      </c>
      <c r="D75" s="25">
        <v>12540</v>
      </c>
      <c r="E75" s="26">
        <v>-37</v>
      </c>
      <c r="F75" s="24">
        <v>0</v>
      </c>
      <c r="G75" s="26">
        <v>0</v>
      </c>
      <c r="H75" s="24">
        <v>0</v>
      </c>
      <c r="I75" s="94">
        <v>0</v>
      </c>
      <c r="J75" s="116">
        <v>7051</v>
      </c>
      <c r="K75" s="59">
        <f t="shared" si="16"/>
        <v>19554</v>
      </c>
    </row>
    <row r="76" spans="1:11" ht="12.75">
      <c r="A76" s="50"/>
      <c r="B76" s="3" t="s">
        <v>137</v>
      </c>
      <c r="C76" s="24">
        <v>67220</v>
      </c>
      <c r="D76" s="25">
        <v>73220</v>
      </c>
      <c r="E76" s="26">
        <v>-216</v>
      </c>
      <c r="F76" s="24">
        <v>0</v>
      </c>
      <c r="G76" s="26">
        <v>0</v>
      </c>
      <c r="H76" s="24">
        <v>0</v>
      </c>
      <c r="I76" s="94">
        <v>0</v>
      </c>
      <c r="J76" s="116">
        <v>-2510</v>
      </c>
      <c r="K76" s="59">
        <f t="shared" si="16"/>
        <v>70494</v>
      </c>
    </row>
    <row r="77" spans="1:11" ht="12.75">
      <c r="A77" s="50"/>
      <c r="B77" s="3" t="s">
        <v>29</v>
      </c>
      <c r="C77" s="24">
        <v>54122</v>
      </c>
      <c r="D77" s="25">
        <v>56122</v>
      </c>
      <c r="E77" s="26">
        <v>-165</v>
      </c>
      <c r="F77" s="24">
        <v>0</v>
      </c>
      <c r="G77" s="26">
        <v>0</v>
      </c>
      <c r="H77" s="24">
        <v>0</v>
      </c>
      <c r="I77" s="94">
        <v>0</v>
      </c>
      <c r="J77" s="116">
        <v>1142</v>
      </c>
      <c r="K77" s="59">
        <f t="shared" si="16"/>
        <v>57099</v>
      </c>
    </row>
    <row r="78" spans="1:11" ht="12.75">
      <c r="A78" s="50"/>
      <c r="B78" s="3" t="s">
        <v>31</v>
      </c>
      <c r="C78" s="24">
        <v>15689</v>
      </c>
      <c r="D78" s="25">
        <v>23489</v>
      </c>
      <c r="E78" s="26">
        <v>-69</v>
      </c>
      <c r="F78" s="24">
        <v>0</v>
      </c>
      <c r="G78" s="26">
        <v>0</v>
      </c>
      <c r="H78" s="24">
        <v>0</v>
      </c>
      <c r="I78" s="94">
        <v>0</v>
      </c>
      <c r="J78" s="116">
        <v>-103</v>
      </c>
      <c r="K78" s="59">
        <f t="shared" si="16"/>
        <v>23317</v>
      </c>
    </row>
    <row r="79" spans="1:11" ht="12.75">
      <c r="A79" s="50"/>
      <c r="B79" s="3" t="s">
        <v>32</v>
      </c>
      <c r="C79" s="24">
        <v>1265</v>
      </c>
      <c r="D79" s="25">
        <v>1265</v>
      </c>
      <c r="E79" s="26">
        <v>-4</v>
      </c>
      <c r="F79" s="24">
        <v>0</v>
      </c>
      <c r="G79" s="26">
        <v>0</v>
      </c>
      <c r="H79" s="24">
        <v>0</v>
      </c>
      <c r="I79" s="94">
        <v>0</v>
      </c>
      <c r="J79" s="116">
        <v>0</v>
      </c>
      <c r="K79" s="59">
        <f t="shared" si="16"/>
        <v>1261</v>
      </c>
    </row>
    <row r="80" spans="1:11" ht="12.75">
      <c r="A80" s="50"/>
      <c r="B80" s="3" t="s">
        <v>138</v>
      </c>
      <c r="C80" s="24">
        <v>12484</v>
      </c>
      <c r="D80" s="25">
        <v>12484</v>
      </c>
      <c r="E80" s="26">
        <v>-37</v>
      </c>
      <c r="F80" s="24">
        <v>0</v>
      </c>
      <c r="G80" s="26">
        <v>0</v>
      </c>
      <c r="H80" s="24">
        <v>0</v>
      </c>
      <c r="I80" s="94">
        <v>0</v>
      </c>
      <c r="J80" s="116">
        <v>0</v>
      </c>
      <c r="K80" s="59">
        <f t="shared" si="16"/>
        <v>12447</v>
      </c>
    </row>
    <row r="81" spans="1:11" ht="12.75">
      <c r="A81" s="50"/>
      <c r="B81" s="3" t="s">
        <v>33</v>
      </c>
      <c r="C81" s="24">
        <v>18795</v>
      </c>
      <c r="D81" s="25">
        <v>21675</v>
      </c>
      <c r="E81" s="26">
        <v>-64</v>
      </c>
      <c r="F81" s="24">
        <v>0</v>
      </c>
      <c r="G81" s="26">
        <v>0</v>
      </c>
      <c r="H81" s="24">
        <v>0</v>
      </c>
      <c r="I81" s="94">
        <v>0</v>
      </c>
      <c r="J81" s="116">
        <v>0</v>
      </c>
      <c r="K81" s="59">
        <f t="shared" si="16"/>
        <v>21611</v>
      </c>
    </row>
    <row r="82" spans="1:11" ht="12.75">
      <c r="A82" s="50"/>
      <c r="B82" s="3" t="s">
        <v>34</v>
      </c>
      <c r="C82" s="24">
        <v>3272</v>
      </c>
      <c r="D82" s="25">
        <v>3272</v>
      </c>
      <c r="E82" s="26">
        <v>-10</v>
      </c>
      <c r="F82" s="24">
        <v>0</v>
      </c>
      <c r="G82" s="26">
        <v>0</v>
      </c>
      <c r="H82" s="24">
        <v>0</v>
      </c>
      <c r="I82" s="94">
        <v>0</v>
      </c>
      <c r="J82" s="116">
        <v>-651</v>
      </c>
      <c r="K82" s="59">
        <f t="shared" si="16"/>
        <v>2611</v>
      </c>
    </row>
    <row r="83" spans="1:11" ht="12.75">
      <c r="A83" s="50"/>
      <c r="B83" s="3" t="s">
        <v>35</v>
      </c>
      <c r="C83" s="24">
        <v>3702</v>
      </c>
      <c r="D83" s="25">
        <v>3702</v>
      </c>
      <c r="E83" s="26">
        <v>-11</v>
      </c>
      <c r="F83" s="24">
        <v>0</v>
      </c>
      <c r="G83" s="26">
        <v>-6400</v>
      </c>
      <c r="H83" s="24">
        <v>0</v>
      </c>
      <c r="I83" s="94">
        <v>6400</v>
      </c>
      <c r="J83" s="116">
        <v>900</v>
      </c>
      <c r="K83" s="59">
        <f t="shared" si="16"/>
        <v>4591</v>
      </c>
    </row>
    <row r="84" spans="1:11" ht="12.75">
      <c r="A84" s="50"/>
      <c r="B84" s="3" t="s">
        <v>139</v>
      </c>
      <c r="C84" s="24">
        <v>34151</v>
      </c>
      <c r="D84" s="25">
        <v>36151</v>
      </c>
      <c r="E84" s="26">
        <v>-107</v>
      </c>
      <c r="F84" s="24">
        <v>0</v>
      </c>
      <c r="G84" s="26">
        <v>0</v>
      </c>
      <c r="H84" s="24">
        <v>0</v>
      </c>
      <c r="I84" s="94">
        <v>0</v>
      </c>
      <c r="J84" s="116">
        <v>0</v>
      </c>
      <c r="K84" s="59">
        <f t="shared" si="16"/>
        <v>36044</v>
      </c>
    </row>
    <row r="85" spans="1:11" ht="12.75">
      <c r="A85" s="50"/>
      <c r="B85" s="3" t="s">
        <v>140</v>
      </c>
      <c r="C85" s="24">
        <v>21593</v>
      </c>
      <c r="D85" s="25">
        <v>20000</v>
      </c>
      <c r="E85" s="26">
        <v>-59</v>
      </c>
      <c r="F85" s="24">
        <v>0</v>
      </c>
      <c r="G85" s="26">
        <v>0</v>
      </c>
      <c r="H85" s="24">
        <v>0</v>
      </c>
      <c r="I85" s="94">
        <v>0</v>
      </c>
      <c r="J85" s="116">
        <v>1059</v>
      </c>
      <c r="K85" s="59">
        <f t="shared" si="16"/>
        <v>21000</v>
      </c>
    </row>
    <row r="86" spans="1:11" ht="12.75">
      <c r="A86" s="50"/>
      <c r="B86" s="3" t="s">
        <v>36</v>
      </c>
      <c r="C86" s="24">
        <v>11722</v>
      </c>
      <c r="D86" s="25">
        <v>11722</v>
      </c>
      <c r="E86" s="26">
        <v>-35</v>
      </c>
      <c r="F86" s="24">
        <v>0</v>
      </c>
      <c r="G86" s="26">
        <v>0</v>
      </c>
      <c r="H86" s="24">
        <v>0</v>
      </c>
      <c r="I86" s="94">
        <v>0</v>
      </c>
      <c r="J86" s="116">
        <v>-2337</v>
      </c>
      <c r="K86" s="59">
        <f t="shared" si="16"/>
        <v>9350</v>
      </c>
    </row>
    <row r="87" spans="1:11" ht="12.75">
      <c r="A87" s="50"/>
      <c r="B87" s="3" t="s">
        <v>37</v>
      </c>
      <c r="C87" s="24">
        <v>27194</v>
      </c>
      <c r="D87" s="25">
        <v>55561</v>
      </c>
      <c r="E87" s="26">
        <v>-164</v>
      </c>
      <c r="F87" s="24">
        <v>0</v>
      </c>
      <c r="G87" s="26">
        <v>0</v>
      </c>
      <c r="H87" s="24">
        <v>0</v>
      </c>
      <c r="I87" s="94">
        <v>0</v>
      </c>
      <c r="J87" s="116">
        <v>0</v>
      </c>
      <c r="K87" s="59">
        <f t="shared" si="16"/>
        <v>55397</v>
      </c>
    </row>
    <row r="88" spans="1:11" ht="12.75">
      <c r="A88" s="50"/>
      <c r="B88" s="3" t="s">
        <v>220</v>
      </c>
      <c r="C88" s="24">
        <v>55248</v>
      </c>
      <c r="D88" s="25">
        <v>55248</v>
      </c>
      <c r="E88" s="26">
        <v>-163</v>
      </c>
      <c r="F88" s="24">
        <v>0</v>
      </c>
      <c r="G88" s="26">
        <v>0</v>
      </c>
      <c r="H88" s="24">
        <v>0</v>
      </c>
      <c r="I88" s="94">
        <v>0</v>
      </c>
      <c r="J88" s="116">
        <v>887</v>
      </c>
      <c r="K88" s="59">
        <f t="shared" si="16"/>
        <v>55972</v>
      </c>
    </row>
    <row r="89" spans="1:11" ht="12.75">
      <c r="A89" s="50"/>
      <c r="B89" s="117" t="s">
        <v>221</v>
      </c>
      <c r="C89" s="24">
        <v>15862</v>
      </c>
      <c r="D89" s="25">
        <v>15862</v>
      </c>
      <c r="E89" s="26">
        <v>-47</v>
      </c>
      <c r="F89" s="24">
        <v>0</v>
      </c>
      <c r="G89" s="26">
        <v>0</v>
      </c>
      <c r="H89" s="24">
        <v>0</v>
      </c>
      <c r="I89" s="94">
        <v>0</v>
      </c>
      <c r="J89" s="116">
        <v>0</v>
      </c>
      <c r="K89" s="59">
        <f>SUM(D89:J89)</f>
        <v>15815</v>
      </c>
    </row>
    <row r="90" spans="1:11" ht="12.75">
      <c r="A90" s="50"/>
      <c r="B90" s="3" t="s">
        <v>223</v>
      </c>
      <c r="C90" s="24">
        <v>25892</v>
      </c>
      <c r="D90" s="25">
        <v>25892</v>
      </c>
      <c r="E90" s="26">
        <v>-76</v>
      </c>
      <c r="F90" s="24">
        <v>0</v>
      </c>
      <c r="G90" s="26">
        <v>33750</v>
      </c>
      <c r="H90" s="24">
        <v>0</v>
      </c>
      <c r="I90" s="94">
        <v>0</v>
      </c>
      <c r="J90" s="116">
        <v>0</v>
      </c>
      <c r="K90" s="59">
        <f>SUM(D90:J90)</f>
        <v>59566</v>
      </c>
    </row>
    <row r="91" spans="1:11" ht="12.75">
      <c r="A91" s="50"/>
      <c r="B91" s="117" t="s">
        <v>222</v>
      </c>
      <c r="C91" s="24">
        <v>15455</v>
      </c>
      <c r="D91" s="25">
        <v>19455</v>
      </c>
      <c r="E91" s="26">
        <v>-57</v>
      </c>
      <c r="F91" s="24">
        <v>0</v>
      </c>
      <c r="G91" s="26">
        <v>16250</v>
      </c>
      <c r="H91" s="24">
        <v>0</v>
      </c>
      <c r="I91" s="94">
        <v>0</v>
      </c>
      <c r="J91" s="116">
        <v>-3186</v>
      </c>
      <c r="K91" s="59">
        <f>SUM(D91:J91)</f>
        <v>32462</v>
      </c>
    </row>
    <row r="92" spans="1:11" ht="12.75">
      <c r="A92" s="50"/>
      <c r="B92" s="117" t="s">
        <v>224</v>
      </c>
      <c r="C92" s="24">
        <v>30201</v>
      </c>
      <c r="D92" s="25">
        <v>25351</v>
      </c>
      <c r="E92" s="26">
        <v>-75</v>
      </c>
      <c r="F92" s="24">
        <v>0</v>
      </c>
      <c r="G92" s="26">
        <v>0</v>
      </c>
      <c r="H92" s="24">
        <v>0</v>
      </c>
      <c r="I92" s="94">
        <v>0</v>
      </c>
      <c r="J92" s="116">
        <v>209</v>
      </c>
      <c r="K92" s="59">
        <f>SUM(D92:J92)</f>
        <v>25485</v>
      </c>
    </row>
    <row r="93" spans="1:11" ht="12.75">
      <c r="A93" s="50"/>
      <c r="B93" s="117" t="s">
        <v>225</v>
      </c>
      <c r="C93" s="24">
        <v>33966</v>
      </c>
      <c r="D93" s="25">
        <v>23566</v>
      </c>
      <c r="E93" s="26">
        <v>-69</v>
      </c>
      <c r="F93" s="24">
        <v>0</v>
      </c>
      <c r="G93" s="26">
        <v>0</v>
      </c>
      <c r="H93" s="24">
        <v>0</v>
      </c>
      <c r="I93" s="94">
        <v>0</v>
      </c>
      <c r="J93" s="116">
        <v>2395</v>
      </c>
      <c r="K93" s="59">
        <f>SUM(D93:J93)</f>
        <v>25892</v>
      </c>
    </row>
    <row r="94" spans="1:11" ht="12.75">
      <c r="A94" s="50"/>
      <c r="B94" s="117" t="s">
        <v>38</v>
      </c>
      <c r="C94" s="24">
        <v>13450</v>
      </c>
      <c r="D94" s="25">
        <v>13450</v>
      </c>
      <c r="E94" s="26">
        <v>-40</v>
      </c>
      <c r="F94" s="24">
        <v>0</v>
      </c>
      <c r="G94" s="26">
        <v>0</v>
      </c>
      <c r="H94" s="24">
        <v>0</v>
      </c>
      <c r="I94" s="94">
        <v>0</v>
      </c>
      <c r="J94" s="116">
        <v>0</v>
      </c>
      <c r="K94" s="59">
        <f t="shared" si="16"/>
        <v>13410</v>
      </c>
    </row>
    <row r="95" spans="1:11" ht="12.75">
      <c r="A95" s="50"/>
      <c r="B95" s="117" t="s">
        <v>39</v>
      </c>
      <c r="C95" s="24">
        <v>15331</v>
      </c>
      <c r="D95" s="25">
        <v>15331</v>
      </c>
      <c r="E95" s="26">
        <v>-45</v>
      </c>
      <c r="F95" s="24">
        <v>0</v>
      </c>
      <c r="G95" s="26">
        <v>0</v>
      </c>
      <c r="H95" s="24">
        <v>0</v>
      </c>
      <c r="I95" s="94">
        <v>0</v>
      </c>
      <c r="J95" s="116">
        <v>-3014</v>
      </c>
      <c r="K95" s="59">
        <f t="shared" si="16"/>
        <v>12272</v>
      </c>
    </row>
    <row r="96" spans="1:11" ht="12.75">
      <c r="A96" s="50"/>
      <c r="B96" s="117" t="s">
        <v>198</v>
      </c>
      <c r="C96" s="24">
        <v>315443</v>
      </c>
      <c r="D96" s="25">
        <v>319443</v>
      </c>
      <c r="E96" s="26">
        <v>-941</v>
      </c>
      <c r="F96" s="24">
        <v>0</v>
      </c>
      <c r="G96" s="26">
        <v>0</v>
      </c>
      <c r="H96" s="24">
        <v>0</v>
      </c>
      <c r="I96" s="94">
        <v>0</v>
      </c>
      <c r="J96" s="116">
        <f>2431+511</f>
        <v>2942</v>
      </c>
      <c r="K96" s="59">
        <f t="shared" si="16"/>
        <v>321444</v>
      </c>
    </row>
    <row r="97" spans="1:11" ht="12.75">
      <c r="A97" s="50"/>
      <c r="B97" s="117" t="s">
        <v>40</v>
      </c>
      <c r="C97" s="24">
        <v>64778</v>
      </c>
      <c r="D97" s="25">
        <v>55778</v>
      </c>
      <c r="E97" s="26">
        <v>-164</v>
      </c>
      <c r="F97" s="24">
        <v>0</v>
      </c>
      <c r="G97" s="26">
        <v>0</v>
      </c>
      <c r="H97" s="24">
        <v>0</v>
      </c>
      <c r="I97" s="94">
        <v>0</v>
      </c>
      <c r="J97" s="116">
        <v>-5928</v>
      </c>
      <c r="K97" s="59">
        <f t="shared" si="16"/>
        <v>49686</v>
      </c>
    </row>
    <row r="98" spans="1:11" ht="13.5" thickBot="1">
      <c r="A98" s="50"/>
      <c r="B98" s="31" t="s">
        <v>185</v>
      </c>
      <c r="C98" s="24">
        <v>0</v>
      </c>
      <c r="D98" s="25">
        <v>0</v>
      </c>
      <c r="E98" s="26">
        <v>0</v>
      </c>
      <c r="F98" s="24">
        <v>0</v>
      </c>
      <c r="G98" s="26">
        <v>0</v>
      </c>
      <c r="H98" s="24">
        <v>0</v>
      </c>
      <c r="I98" s="94">
        <v>2407</v>
      </c>
      <c r="J98" s="116">
        <v>0</v>
      </c>
      <c r="K98" s="59">
        <f t="shared" si="16"/>
        <v>2407</v>
      </c>
    </row>
    <row r="99" spans="1:14" s="11" customFormat="1" ht="13.5" thickBot="1">
      <c r="A99" s="247"/>
      <c r="B99" s="37" t="s">
        <v>233</v>
      </c>
      <c r="C99" s="38">
        <f aca="true" t="shared" si="17" ref="C99:K99">SUM(C63:C98)</f>
        <v>1450512</v>
      </c>
      <c r="D99" s="38">
        <f t="shared" si="17"/>
        <v>1487375</v>
      </c>
      <c r="E99" s="38">
        <f t="shared" si="17"/>
        <v>-4387</v>
      </c>
      <c r="F99" s="38">
        <f t="shared" si="17"/>
        <v>0</v>
      </c>
      <c r="G99" s="38">
        <f t="shared" si="17"/>
        <v>104240</v>
      </c>
      <c r="H99" s="38">
        <f t="shared" si="17"/>
        <v>0</v>
      </c>
      <c r="I99" s="38">
        <f t="shared" si="17"/>
        <v>8807</v>
      </c>
      <c r="J99" s="38">
        <f t="shared" si="17"/>
        <v>0</v>
      </c>
      <c r="K99" s="38">
        <f t="shared" si="17"/>
        <v>1596035</v>
      </c>
      <c r="N99" s="10"/>
    </row>
    <row r="100" spans="1:11" ht="12.75">
      <c r="A100" s="49"/>
      <c r="B100" s="40"/>
      <c r="C100" s="24"/>
      <c r="D100" s="25"/>
      <c r="E100" s="26"/>
      <c r="F100" s="24"/>
      <c r="G100" s="26"/>
      <c r="H100" s="24"/>
      <c r="I100" s="94"/>
      <c r="J100" s="116"/>
      <c r="K100" s="25"/>
    </row>
    <row r="101" spans="1:11" ht="12.75">
      <c r="A101" s="49" t="s">
        <v>173</v>
      </c>
      <c r="B101" s="3" t="s">
        <v>42</v>
      </c>
      <c r="C101" s="24">
        <v>88565</v>
      </c>
      <c r="D101" s="25">
        <v>88565</v>
      </c>
      <c r="E101" s="26">
        <v>-261</v>
      </c>
      <c r="F101" s="24">
        <v>0</v>
      </c>
      <c r="G101" s="24">
        <v>0</v>
      </c>
      <c r="H101" s="24">
        <v>0</v>
      </c>
      <c r="I101" s="24">
        <v>0</v>
      </c>
      <c r="J101" s="116">
        <f>SUM('FY 09-11 DD 1416 Tracker-Total'!AU139)</f>
        <v>99</v>
      </c>
      <c r="K101" s="25">
        <f aca="true" t="shared" si="18" ref="K101:K106">SUM(D101:J101)</f>
        <v>88403</v>
      </c>
    </row>
    <row r="102" spans="1:11" ht="12.75">
      <c r="A102" s="49"/>
      <c r="B102" s="3" t="s">
        <v>43</v>
      </c>
      <c r="C102" s="24">
        <v>80211</v>
      </c>
      <c r="D102" s="25">
        <v>80211</v>
      </c>
      <c r="E102" s="26">
        <v>-237</v>
      </c>
      <c r="F102" s="24">
        <v>0</v>
      </c>
      <c r="G102" s="24">
        <v>0</v>
      </c>
      <c r="H102" s="24">
        <v>0</v>
      </c>
      <c r="I102" s="24">
        <v>0</v>
      </c>
      <c r="J102" s="116">
        <f>SUM('FY 09-11 DD 1416 Tracker-Total'!AU140)</f>
        <v>-99</v>
      </c>
      <c r="K102" s="25">
        <f t="shared" si="18"/>
        <v>79875</v>
      </c>
    </row>
    <row r="103" spans="1:11" ht="12.75">
      <c r="A103" s="49"/>
      <c r="B103" s="3" t="s">
        <v>44</v>
      </c>
      <c r="C103" s="24">
        <v>22299</v>
      </c>
      <c r="D103" s="25">
        <v>25579</v>
      </c>
      <c r="E103" s="26">
        <v>-75</v>
      </c>
      <c r="F103" s="24">
        <v>0</v>
      </c>
      <c r="G103" s="24">
        <v>0</v>
      </c>
      <c r="H103" s="24">
        <v>0</v>
      </c>
      <c r="I103" s="24">
        <v>0</v>
      </c>
      <c r="J103" s="116">
        <f>SUM('FY 09-11 DD 1416 Tracker-Total'!AU141)</f>
        <v>-5100</v>
      </c>
      <c r="K103" s="25">
        <f t="shared" si="18"/>
        <v>20404</v>
      </c>
    </row>
    <row r="104" spans="1:11" ht="12.75">
      <c r="A104" s="49"/>
      <c r="B104" s="3" t="s">
        <v>45</v>
      </c>
      <c r="C104" s="24">
        <v>38702</v>
      </c>
      <c r="D104" s="25">
        <v>38702</v>
      </c>
      <c r="E104" s="26">
        <v>-114</v>
      </c>
      <c r="F104" s="24">
        <v>0</v>
      </c>
      <c r="G104" s="24">
        <v>0</v>
      </c>
      <c r="H104" s="24">
        <v>0</v>
      </c>
      <c r="I104" s="24">
        <v>0</v>
      </c>
      <c r="J104" s="116">
        <f>SUM('FY 09-11 DD 1416 Tracker-Total'!AU142)</f>
        <v>0</v>
      </c>
      <c r="K104" s="25">
        <f t="shared" si="18"/>
        <v>38588</v>
      </c>
    </row>
    <row r="105" spans="1:11" ht="12.75">
      <c r="A105" s="49"/>
      <c r="B105" s="3" t="s">
        <v>199</v>
      </c>
      <c r="C105" s="24">
        <v>37784</v>
      </c>
      <c r="D105" s="25">
        <v>37784</v>
      </c>
      <c r="E105" s="26">
        <v>-111</v>
      </c>
      <c r="F105" s="24">
        <v>0</v>
      </c>
      <c r="G105" s="24">
        <v>0</v>
      </c>
      <c r="H105" s="24">
        <v>0</v>
      </c>
      <c r="I105" s="24">
        <v>0</v>
      </c>
      <c r="J105" s="116">
        <f>SUM('FY 09-11 DD 1416 Tracker-Total'!AU143)</f>
        <v>0</v>
      </c>
      <c r="K105" s="25">
        <f t="shared" si="18"/>
        <v>37673</v>
      </c>
    </row>
    <row r="106" spans="1:11" ht="13.5" thickBot="1">
      <c r="A106" s="49"/>
      <c r="B106" s="3" t="s">
        <v>46</v>
      </c>
      <c r="C106" s="24">
        <v>199610</v>
      </c>
      <c r="D106" s="25">
        <v>186160</v>
      </c>
      <c r="E106" s="26">
        <v>-549</v>
      </c>
      <c r="F106" s="24">
        <v>0</v>
      </c>
      <c r="G106" s="24">
        <v>0</v>
      </c>
      <c r="H106" s="24">
        <v>0</v>
      </c>
      <c r="I106" s="24">
        <v>0</v>
      </c>
      <c r="J106" s="116">
        <f>SUM('FY 09-11 DD 1416 Tracker-Total'!AU144)</f>
        <v>5100</v>
      </c>
      <c r="K106" s="25">
        <f t="shared" si="18"/>
        <v>190711</v>
      </c>
    </row>
    <row r="107" spans="1:11" s="11" customFormat="1" ht="13.5" thickBot="1">
      <c r="A107" s="247"/>
      <c r="B107" s="37" t="s">
        <v>234</v>
      </c>
      <c r="C107" s="38">
        <f>SUM(C101:C106)</f>
        <v>467171</v>
      </c>
      <c r="D107" s="38">
        <f aca="true" t="shared" si="19" ref="D107:K107">SUM(D101:D106)</f>
        <v>457001</v>
      </c>
      <c r="E107" s="38">
        <f t="shared" si="19"/>
        <v>-1347</v>
      </c>
      <c r="F107" s="38">
        <f t="shared" si="19"/>
        <v>0</v>
      </c>
      <c r="G107" s="38">
        <f t="shared" si="19"/>
        <v>0</v>
      </c>
      <c r="H107" s="38">
        <f t="shared" si="19"/>
        <v>0</v>
      </c>
      <c r="I107" s="270">
        <f t="shared" si="19"/>
        <v>0</v>
      </c>
      <c r="J107" s="38">
        <f t="shared" si="19"/>
        <v>0</v>
      </c>
      <c r="K107" s="39">
        <f t="shared" si="19"/>
        <v>455654</v>
      </c>
    </row>
    <row r="108" spans="1:11" ht="12.75">
      <c r="A108" s="41"/>
      <c r="B108" s="42"/>
      <c r="C108" s="24"/>
      <c r="D108" s="29"/>
      <c r="E108" s="31"/>
      <c r="F108" s="33"/>
      <c r="G108" s="31"/>
      <c r="H108" s="33"/>
      <c r="I108" s="93"/>
      <c r="J108" s="123"/>
      <c r="K108" s="25"/>
    </row>
    <row r="109" spans="1:11" ht="12.75">
      <c r="A109" s="41" t="s">
        <v>235</v>
      </c>
      <c r="B109" s="3" t="s">
        <v>226</v>
      </c>
      <c r="C109" s="24">
        <v>0</v>
      </c>
      <c r="D109" s="25">
        <v>57100</v>
      </c>
      <c r="E109" s="26">
        <v>-168</v>
      </c>
      <c r="F109" s="24">
        <v>0</v>
      </c>
      <c r="G109" s="26">
        <v>0</v>
      </c>
      <c r="H109" s="24">
        <v>0</v>
      </c>
      <c r="I109" s="26">
        <v>0</v>
      </c>
      <c r="J109" s="24">
        <v>0</v>
      </c>
      <c r="K109" s="25">
        <f>SUM(D109:J109)</f>
        <v>56932</v>
      </c>
    </row>
    <row r="110" spans="1:11" ht="13.5" thickBot="1">
      <c r="A110" s="41"/>
      <c r="B110" s="3" t="s">
        <v>227</v>
      </c>
      <c r="C110" s="24">
        <v>0</v>
      </c>
      <c r="D110" s="25">
        <v>105000</v>
      </c>
      <c r="E110" s="26">
        <v>-310</v>
      </c>
      <c r="F110" s="24">
        <v>0</v>
      </c>
      <c r="G110" s="26">
        <v>0</v>
      </c>
      <c r="H110" s="269">
        <v>0</v>
      </c>
      <c r="I110" s="26">
        <v>0</v>
      </c>
      <c r="J110" s="269">
        <v>0</v>
      </c>
      <c r="K110" s="25">
        <f>SUM(D110:J110)</f>
        <v>104690</v>
      </c>
    </row>
    <row r="111" spans="1:11" s="11" customFormat="1" ht="13.5" thickBot="1">
      <c r="A111" s="247"/>
      <c r="B111" s="37" t="s">
        <v>236</v>
      </c>
      <c r="C111" s="38">
        <f>SUM(C109:C110)</f>
        <v>0</v>
      </c>
      <c r="D111" s="38">
        <f aca="true" t="shared" si="20" ref="D111:K111">SUM(D109:D110)</f>
        <v>162100</v>
      </c>
      <c r="E111" s="38">
        <f t="shared" si="20"/>
        <v>-478</v>
      </c>
      <c r="F111" s="38">
        <f t="shared" si="20"/>
        <v>0</v>
      </c>
      <c r="G111" s="38">
        <f t="shared" si="20"/>
        <v>0</v>
      </c>
      <c r="H111" s="38">
        <f t="shared" si="20"/>
        <v>0</v>
      </c>
      <c r="I111" s="38">
        <f t="shared" si="20"/>
        <v>0</v>
      </c>
      <c r="J111" s="38">
        <f t="shared" si="20"/>
        <v>0</v>
      </c>
      <c r="K111" s="38">
        <f t="shared" si="20"/>
        <v>161622</v>
      </c>
    </row>
    <row r="112" spans="1:11" ht="12.75">
      <c r="A112" s="41"/>
      <c r="B112" s="42"/>
      <c r="C112" s="24"/>
      <c r="D112" s="29"/>
      <c r="E112" s="31"/>
      <c r="F112" s="24"/>
      <c r="G112" s="31"/>
      <c r="H112" s="33"/>
      <c r="I112" s="93"/>
      <c r="J112" s="123"/>
      <c r="K112" s="25"/>
    </row>
    <row r="113" spans="1:11" ht="13.5" thickBot="1">
      <c r="A113" s="41"/>
      <c r="B113" s="42"/>
      <c r="C113" s="24"/>
      <c r="D113" s="29"/>
      <c r="E113" s="31"/>
      <c r="F113" s="24"/>
      <c r="G113" s="31"/>
      <c r="H113" s="24"/>
      <c r="I113" s="93"/>
      <c r="J113" s="123"/>
      <c r="K113" s="25"/>
    </row>
    <row r="114" spans="1:11" s="256" customFormat="1" ht="13.5" thickBot="1">
      <c r="A114" s="43" t="s">
        <v>47</v>
      </c>
      <c r="B114" s="44" t="s">
        <v>164</v>
      </c>
      <c r="C114" s="38">
        <v>671379</v>
      </c>
      <c r="D114" s="38">
        <v>648379</v>
      </c>
      <c r="E114" s="218">
        <v>-1912</v>
      </c>
      <c r="F114" s="38">
        <v>0</v>
      </c>
      <c r="G114" s="218">
        <v>71088</v>
      </c>
      <c r="H114" s="38">
        <v>0</v>
      </c>
      <c r="I114" s="218">
        <v>-211</v>
      </c>
      <c r="J114" s="38">
        <v>0</v>
      </c>
      <c r="K114" s="39">
        <f>SUM(D114:J114)</f>
        <v>717344</v>
      </c>
    </row>
    <row r="115" spans="1:11" s="256" customFormat="1" ht="12.75">
      <c r="A115" s="224"/>
      <c r="B115" s="225"/>
      <c r="C115" s="124"/>
      <c r="D115" s="96"/>
      <c r="E115" s="79"/>
      <c r="F115" s="124"/>
      <c r="G115" s="79"/>
      <c r="H115" s="124"/>
      <c r="I115" s="79"/>
      <c r="J115" s="124"/>
      <c r="K115" s="96"/>
    </row>
    <row r="116" spans="1:11" s="256" customFormat="1" ht="13.5" thickBot="1">
      <c r="A116" s="224"/>
      <c r="B116" s="225"/>
      <c r="C116" s="124"/>
      <c r="D116" s="96"/>
      <c r="E116" s="79"/>
      <c r="F116" s="124"/>
      <c r="G116" s="79"/>
      <c r="H116" s="124"/>
      <c r="I116" s="79"/>
      <c r="J116" s="124"/>
      <c r="K116" s="96"/>
    </row>
    <row r="117" spans="1:11" s="256" customFormat="1" ht="13.5" thickBot="1">
      <c r="A117" s="43" t="s">
        <v>268</v>
      </c>
      <c r="B117" s="44" t="s">
        <v>269</v>
      </c>
      <c r="C117" s="38">
        <v>0</v>
      </c>
      <c r="D117" s="39">
        <v>0</v>
      </c>
      <c r="E117" s="218">
        <v>0</v>
      </c>
      <c r="F117" s="38">
        <v>0</v>
      </c>
      <c r="G117" s="218">
        <v>0</v>
      </c>
      <c r="H117" s="38">
        <v>0</v>
      </c>
      <c r="I117" s="218">
        <v>0</v>
      </c>
      <c r="J117" s="38">
        <v>0</v>
      </c>
      <c r="K117" s="39">
        <v>227524</v>
      </c>
    </row>
    <row r="118" spans="1:11" s="256" customFormat="1" ht="12.75">
      <c r="A118" s="224"/>
      <c r="B118" s="225"/>
      <c r="C118" s="124"/>
      <c r="D118" s="96"/>
      <c r="E118" s="79"/>
      <c r="F118" s="124"/>
      <c r="G118" s="79"/>
      <c r="H118" s="124"/>
      <c r="I118" s="79"/>
      <c r="J118" s="124"/>
      <c r="K118" s="96"/>
    </row>
    <row r="119" spans="1:11" s="22" customFormat="1" ht="13.5" thickBot="1">
      <c r="A119" s="224"/>
      <c r="B119" s="225"/>
      <c r="C119" s="116"/>
      <c r="D119" s="59"/>
      <c r="E119" s="94"/>
      <c r="F119" s="116"/>
      <c r="G119" s="94"/>
      <c r="H119" s="116"/>
      <c r="I119" s="94"/>
      <c r="J119" s="116"/>
      <c r="K119" s="96"/>
    </row>
    <row r="120" spans="1:11" s="10" customFormat="1" ht="13.5" thickBot="1">
      <c r="A120" s="43" t="s">
        <v>175</v>
      </c>
      <c r="B120" s="39" t="s">
        <v>59</v>
      </c>
      <c r="C120" s="38">
        <f>SUM(C61+C99+C107+C114+C117)</f>
        <v>3164228</v>
      </c>
      <c r="D120" s="38">
        <f aca="true" t="shared" si="21" ref="D120:J120">SUM(D61+D99+D107+D111+D114)</f>
        <v>3306269</v>
      </c>
      <c r="E120" s="38">
        <f t="shared" si="21"/>
        <v>-9749</v>
      </c>
      <c r="F120" s="38">
        <f t="shared" si="21"/>
        <v>0</v>
      </c>
      <c r="G120" s="38">
        <f t="shared" si="21"/>
        <v>175328</v>
      </c>
      <c r="H120" s="38">
        <f t="shared" si="21"/>
        <v>0</v>
      </c>
      <c r="I120" s="38">
        <f t="shared" si="21"/>
        <v>9636</v>
      </c>
      <c r="J120" s="38">
        <f t="shared" si="21"/>
        <v>0</v>
      </c>
      <c r="K120" s="38">
        <f>SUM(K61+K99+K107+K111+K114+K117)</f>
        <v>3709009</v>
      </c>
    </row>
    <row r="121" ht="12.75">
      <c r="A121" s="50"/>
    </row>
    <row r="122" ht="12.75">
      <c r="A122" s="50"/>
    </row>
    <row r="123" ht="12.75">
      <c r="A123" s="50"/>
    </row>
    <row r="124" ht="13.5" thickBot="1">
      <c r="A124" s="50"/>
    </row>
    <row r="125" spans="1:11" s="11" customFormat="1" ht="13.5" thickBot="1">
      <c r="A125" s="267" t="s">
        <v>68</v>
      </c>
      <c r="B125" s="268"/>
      <c r="C125" s="218">
        <v>3164228</v>
      </c>
      <c r="D125" s="218">
        <v>3306269</v>
      </c>
      <c r="E125" s="218">
        <v>-9749</v>
      </c>
      <c r="F125" s="218">
        <v>0</v>
      </c>
      <c r="G125" s="218">
        <v>175328</v>
      </c>
      <c r="H125" s="218">
        <v>0</v>
      </c>
      <c r="I125" s="218">
        <v>9636</v>
      </c>
      <c r="J125" s="218">
        <v>0</v>
      </c>
      <c r="K125" s="39">
        <v>3709009</v>
      </c>
    </row>
    <row r="127" spans="1:11" ht="12.75">
      <c r="A127" s="263"/>
      <c r="B127" s="264"/>
      <c r="C127" s="265"/>
      <c r="D127" s="265"/>
      <c r="E127" s="265"/>
      <c r="F127" s="265"/>
      <c r="G127" s="265"/>
      <c r="H127" s="265"/>
      <c r="I127" s="265"/>
      <c r="J127" s="265"/>
      <c r="K127" s="266"/>
    </row>
    <row r="128" ht="12.75">
      <c r="C128" s="16"/>
    </row>
  </sheetData>
  <sheetProtection/>
  <printOptions/>
  <pageMargins left="0.75" right="0.75" top="1" bottom="1" header="0.5" footer="0.5"/>
  <pageSetup fitToHeight="2" fitToWidth="1" horizontalDpi="600" verticalDpi="600" orientation="landscape" scale="50" r:id="rId1"/>
  <headerFooter alignWithMargins="0">
    <oddHeader>&amp;CFY 2009/2011
PROCUREMENT, DEFENSE-WIDE
As of June 2009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9"/>
  <sheetViews>
    <sheetView zoomScalePageLayoutView="0" workbookViewId="0" topLeftCell="A1">
      <pane xSplit="2" ySplit="5" topLeftCell="I1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28" sqref="B128"/>
    </sheetView>
  </sheetViews>
  <sheetFormatPr defaultColWidth="9.140625" defaultRowHeight="12.75"/>
  <cols>
    <col min="1" max="1" width="51.140625" style="12" customWidth="1"/>
    <col min="2" max="2" width="56.7109375" style="27" customWidth="1"/>
    <col min="3" max="3" width="12.421875" style="27" customWidth="1"/>
    <col min="4" max="4" width="14.57421875" style="27" customWidth="1"/>
    <col min="5" max="5" width="15.8515625" style="27" customWidth="1"/>
    <col min="6" max="6" width="15.421875" style="27" customWidth="1"/>
    <col min="7" max="7" width="14.8515625" style="27" customWidth="1"/>
    <col min="8" max="8" width="15.421875" style="27" customWidth="1"/>
    <col min="9" max="9" width="14.140625" style="21" customWidth="1"/>
    <col min="10" max="10" width="14.28125" style="21" customWidth="1"/>
    <col min="11" max="11" width="11.57421875" style="16" customWidth="1"/>
    <col min="12" max="12" width="9.140625" style="27" customWidth="1"/>
    <col min="13" max="13" width="9.7109375" style="27" bestFit="1" customWidth="1"/>
    <col min="14" max="16384" width="9.140625" style="27" customWidth="1"/>
  </cols>
  <sheetData>
    <row r="2" spans="4:10" ht="12.75">
      <c r="D2" s="227"/>
      <c r="H2" s="227"/>
      <c r="J2" s="249"/>
    </row>
    <row r="3" spans="2:10" ht="12.75">
      <c r="B3" s="21"/>
      <c r="D3" s="227"/>
      <c r="E3" s="69"/>
      <c r="H3" s="227"/>
      <c r="J3" s="249"/>
    </row>
    <row r="4" spans="4:10" ht="13.5" thickBot="1">
      <c r="D4" s="227"/>
      <c r="E4" s="112"/>
      <c r="G4" s="227"/>
      <c r="H4" s="227"/>
      <c r="I4" s="249"/>
      <c r="J4" s="249"/>
    </row>
    <row r="5" spans="1:11" ht="51" customHeight="1" thickBot="1">
      <c r="A5" s="48" t="s">
        <v>165</v>
      </c>
      <c r="B5" s="47" t="s">
        <v>166</v>
      </c>
      <c r="C5" s="53" t="s">
        <v>50</v>
      </c>
      <c r="D5" s="55" t="s">
        <v>51</v>
      </c>
      <c r="E5" s="53" t="s">
        <v>52</v>
      </c>
      <c r="F5" s="54" t="s">
        <v>53</v>
      </c>
      <c r="G5" s="54" t="s">
        <v>54</v>
      </c>
      <c r="H5" s="54" t="s">
        <v>55</v>
      </c>
      <c r="I5" s="54" t="s">
        <v>56</v>
      </c>
      <c r="J5" s="54" t="s">
        <v>57</v>
      </c>
      <c r="K5" s="219" t="s">
        <v>58</v>
      </c>
    </row>
    <row r="6" spans="1:11" ht="12.75">
      <c r="A6" s="244"/>
      <c r="B6" s="29"/>
      <c r="C6" s="30"/>
      <c r="D6" s="29"/>
      <c r="E6" s="31"/>
      <c r="F6" s="30"/>
      <c r="G6" s="31"/>
      <c r="H6" s="30"/>
      <c r="I6" s="93"/>
      <c r="J6" s="122"/>
      <c r="K6" s="25"/>
    </row>
    <row r="7" spans="1:11" ht="12.75">
      <c r="A7" s="50"/>
      <c r="B7" s="32"/>
      <c r="C7" s="33"/>
      <c r="D7" s="29"/>
      <c r="E7" s="31"/>
      <c r="F7" s="33"/>
      <c r="G7" s="31"/>
      <c r="H7" s="33"/>
      <c r="I7" s="93"/>
      <c r="J7" s="123"/>
      <c r="K7" s="25"/>
    </row>
    <row r="8" spans="1:11" ht="12.75">
      <c r="A8" s="50" t="s">
        <v>63</v>
      </c>
      <c r="B8" s="7" t="s">
        <v>12</v>
      </c>
      <c r="C8" s="24">
        <v>105946</v>
      </c>
      <c r="D8" s="25">
        <v>105946</v>
      </c>
      <c r="E8" s="26">
        <v>-312</v>
      </c>
      <c r="F8" s="24">
        <v>0</v>
      </c>
      <c r="G8" s="26">
        <v>0</v>
      </c>
      <c r="H8" s="24">
        <v>0</v>
      </c>
      <c r="I8" s="94">
        <v>-2273</v>
      </c>
      <c r="J8" s="116">
        <v>0</v>
      </c>
      <c r="K8" s="25">
        <f>SUM(D8:J8)</f>
        <v>103361</v>
      </c>
    </row>
    <row r="9" spans="1:11" s="11" customFormat="1" ht="12.75">
      <c r="A9" s="257"/>
      <c r="B9" s="258" t="s">
        <v>113</v>
      </c>
      <c r="C9" s="260">
        <f aca="true" t="shared" si="0" ref="C9:I9">SUM(C8)</f>
        <v>105946</v>
      </c>
      <c r="D9" s="260">
        <f t="shared" si="0"/>
        <v>105946</v>
      </c>
      <c r="E9" s="260">
        <f t="shared" si="0"/>
        <v>-312</v>
      </c>
      <c r="F9" s="260">
        <f t="shared" si="0"/>
        <v>0</v>
      </c>
      <c r="G9" s="260">
        <f t="shared" si="0"/>
        <v>0</v>
      </c>
      <c r="H9" s="260">
        <f t="shared" si="0"/>
        <v>0</v>
      </c>
      <c r="I9" s="260">
        <f t="shared" si="0"/>
        <v>-2273</v>
      </c>
      <c r="J9" s="260">
        <f>SUM(J8:J8)</f>
        <v>0</v>
      </c>
      <c r="K9" s="260">
        <f>SUM(K8:K8)</f>
        <v>103361</v>
      </c>
    </row>
    <row r="10" spans="1:11" ht="12.75">
      <c r="A10" s="50"/>
      <c r="B10" s="23"/>
      <c r="C10" s="24"/>
      <c r="D10" s="25"/>
      <c r="E10" s="26"/>
      <c r="F10" s="24"/>
      <c r="G10" s="26"/>
      <c r="H10" s="24"/>
      <c r="I10" s="94"/>
      <c r="J10" s="116"/>
      <c r="K10" s="25"/>
    </row>
    <row r="11" spans="1:11" ht="12.75">
      <c r="A11" s="50" t="s">
        <v>65</v>
      </c>
      <c r="B11" t="s">
        <v>116</v>
      </c>
      <c r="C11" s="24">
        <f>SUM('FY 09-11 DD 1416 Tracker-Total'!P18)</f>
        <v>0</v>
      </c>
      <c r="D11" s="25">
        <f>SUM('FY 09-11 DD 1416 Tracker-Total'!J18)</f>
        <v>0</v>
      </c>
      <c r="E11" s="26">
        <f>SUM('FY 09-11 DD 1416 Tracker-Total'!M18)</f>
        <v>0</v>
      </c>
      <c r="F11" s="24">
        <v>0</v>
      </c>
      <c r="G11" s="26">
        <v>0</v>
      </c>
      <c r="H11" s="24">
        <v>0</v>
      </c>
      <c r="I11" s="94">
        <v>0</v>
      </c>
      <c r="J11" s="116">
        <v>0</v>
      </c>
      <c r="K11" s="59">
        <f>SUM(D11:J11)</f>
        <v>0</v>
      </c>
    </row>
    <row r="12" spans="1:11" ht="12.75">
      <c r="A12" s="50"/>
      <c r="B12" t="s">
        <v>12</v>
      </c>
      <c r="C12" s="24">
        <v>26649</v>
      </c>
      <c r="D12" s="25">
        <v>26649</v>
      </c>
      <c r="E12" s="26">
        <v>-79</v>
      </c>
      <c r="F12" s="24">
        <v>0</v>
      </c>
      <c r="G12" s="26">
        <v>0</v>
      </c>
      <c r="H12" s="24">
        <v>0</v>
      </c>
      <c r="I12" s="94">
        <v>0</v>
      </c>
      <c r="J12" s="116">
        <v>0</v>
      </c>
      <c r="K12" s="59">
        <f>SUM(D12:J12)</f>
        <v>26570</v>
      </c>
    </row>
    <row r="13" spans="1:11" s="11" customFormat="1" ht="12.75">
      <c r="A13" s="257"/>
      <c r="B13" s="259" t="s">
        <v>49</v>
      </c>
      <c r="C13" s="260">
        <f>SUM(C11:C12)</f>
        <v>26649</v>
      </c>
      <c r="D13" s="260">
        <f aca="true" t="shared" si="1" ref="D13:K13">SUM(D11:D12)</f>
        <v>26649</v>
      </c>
      <c r="E13" s="260">
        <f t="shared" si="1"/>
        <v>-79</v>
      </c>
      <c r="F13" s="260">
        <f t="shared" si="1"/>
        <v>0</v>
      </c>
      <c r="G13" s="260">
        <f t="shared" si="1"/>
        <v>0</v>
      </c>
      <c r="H13" s="260">
        <f t="shared" si="1"/>
        <v>0</v>
      </c>
      <c r="I13" s="260">
        <f t="shared" si="1"/>
        <v>0</v>
      </c>
      <c r="J13" s="260">
        <f t="shared" si="1"/>
        <v>0</v>
      </c>
      <c r="K13" s="260">
        <f t="shared" si="1"/>
        <v>26570</v>
      </c>
    </row>
    <row r="14" spans="1:11" ht="12.75">
      <c r="A14" s="50"/>
      <c r="B14" s="23"/>
      <c r="C14" s="24"/>
      <c r="D14" s="25"/>
      <c r="E14" s="26"/>
      <c r="F14" s="24"/>
      <c r="G14" s="26"/>
      <c r="H14" s="24"/>
      <c r="I14" s="94"/>
      <c r="J14" s="116"/>
      <c r="K14" s="25"/>
    </row>
    <row r="15" spans="1:11" ht="12.75">
      <c r="A15" s="50" t="s">
        <v>167</v>
      </c>
      <c r="B15" s="3" t="s">
        <v>6</v>
      </c>
      <c r="C15" s="24">
        <v>54934</v>
      </c>
      <c r="D15" s="25">
        <v>48734</v>
      </c>
      <c r="E15" s="26">
        <v>-144</v>
      </c>
      <c r="F15" s="24">
        <v>0</v>
      </c>
      <c r="G15" s="24">
        <v>0</v>
      </c>
      <c r="H15" s="24">
        <v>0</v>
      </c>
      <c r="I15" s="24">
        <v>0</v>
      </c>
      <c r="J15" s="24">
        <f>-1304+595</f>
        <v>-709</v>
      </c>
      <c r="K15" s="59">
        <f>SUM(D15:J15)</f>
        <v>47881</v>
      </c>
    </row>
    <row r="16" spans="1:11" ht="12.75">
      <c r="A16" s="50"/>
      <c r="B16" s="3" t="s">
        <v>248</v>
      </c>
      <c r="C16" s="24">
        <v>10973</v>
      </c>
      <c r="D16" s="25">
        <v>10973</v>
      </c>
      <c r="E16" s="26">
        <v>-32</v>
      </c>
      <c r="F16" s="24">
        <v>0</v>
      </c>
      <c r="G16" s="24">
        <v>0</v>
      </c>
      <c r="H16" s="24">
        <v>0</v>
      </c>
      <c r="I16" s="24"/>
      <c r="J16" s="24">
        <v>-1900</v>
      </c>
      <c r="K16" s="59">
        <f aca="true" t="shared" si="2" ref="K16:K25">SUM(D16:J16)</f>
        <v>9041</v>
      </c>
    </row>
    <row r="17" spans="1:11" ht="12.75">
      <c r="A17" s="50"/>
      <c r="B17" s="3" t="s">
        <v>7</v>
      </c>
      <c r="C17" s="24">
        <v>2788</v>
      </c>
      <c r="D17" s="25">
        <v>2788</v>
      </c>
      <c r="E17" s="26">
        <v>-8</v>
      </c>
      <c r="F17" s="24">
        <v>0</v>
      </c>
      <c r="G17" s="24">
        <v>0</v>
      </c>
      <c r="H17" s="24">
        <v>0</v>
      </c>
      <c r="I17" s="24">
        <v>200</v>
      </c>
      <c r="J17" s="24">
        <v>0</v>
      </c>
      <c r="K17" s="59">
        <f t="shared" si="2"/>
        <v>2980</v>
      </c>
    </row>
    <row r="18" spans="1:11" ht="12.75">
      <c r="A18" s="50"/>
      <c r="B18" s="3" t="s">
        <v>8</v>
      </c>
      <c r="C18" s="24">
        <v>15062</v>
      </c>
      <c r="D18" s="25">
        <v>15062</v>
      </c>
      <c r="E18" s="26">
        <v>-44</v>
      </c>
      <c r="F18" s="24">
        <v>0</v>
      </c>
      <c r="G18" s="24">
        <v>0</v>
      </c>
      <c r="H18" s="24">
        <v>0</v>
      </c>
      <c r="I18" s="24">
        <v>0</v>
      </c>
      <c r="J18" s="24">
        <v>400</v>
      </c>
      <c r="K18" s="59">
        <f t="shared" si="2"/>
        <v>15418</v>
      </c>
    </row>
    <row r="19" spans="1:11" ht="12.75">
      <c r="A19" s="50"/>
      <c r="B19" s="3" t="s">
        <v>9</v>
      </c>
      <c r="C19" s="24">
        <v>121296</v>
      </c>
      <c r="D19" s="25">
        <v>111296</v>
      </c>
      <c r="E19" s="26">
        <v>-328</v>
      </c>
      <c r="F19" s="24">
        <v>0</v>
      </c>
      <c r="G19" s="24">
        <v>0</v>
      </c>
      <c r="H19" s="24">
        <v>0</v>
      </c>
      <c r="I19" s="24">
        <v>0</v>
      </c>
      <c r="J19" s="24">
        <f>3243+1200</f>
        <v>4443</v>
      </c>
      <c r="K19" s="59">
        <f t="shared" si="2"/>
        <v>115411</v>
      </c>
    </row>
    <row r="20" spans="1:11" ht="12.75">
      <c r="A20" s="50"/>
      <c r="B20" s="3" t="s">
        <v>10</v>
      </c>
      <c r="C20" s="24">
        <v>36765</v>
      </c>
      <c r="D20" s="25">
        <v>36765</v>
      </c>
      <c r="E20" s="26">
        <v>-108</v>
      </c>
      <c r="F20" s="24">
        <v>0</v>
      </c>
      <c r="G20" s="24">
        <v>0</v>
      </c>
      <c r="H20" s="24">
        <v>0</v>
      </c>
      <c r="I20" s="24">
        <v>0</v>
      </c>
      <c r="J20" s="24">
        <v>-5958</v>
      </c>
      <c r="K20" s="59">
        <f t="shared" si="2"/>
        <v>30699</v>
      </c>
    </row>
    <row r="21" spans="1:11" ht="12.75">
      <c r="A21" s="50"/>
      <c r="B21" s="3" t="s">
        <v>197</v>
      </c>
      <c r="C21" s="24">
        <v>90328</v>
      </c>
      <c r="D21" s="25">
        <v>90328</v>
      </c>
      <c r="E21" s="26">
        <v>-266</v>
      </c>
      <c r="F21" s="24">
        <v>0</v>
      </c>
      <c r="G21" s="24">
        <v>0</v>
      </c>
      <c r="H21" s="24">
        <v>0</v>
      </c>
      <c r="I21" s="24">
        <v>0</v>
      </c>
      <c r="J21" s="24">
        <f>4319-595</f>
        <v>3724</v>
      </c>
      <c r="K21" s="59">
        <f t="shared" si="2"/>
        <v>93786</v>
      </c>
    </row>
    <row r="22" spans="1:11" ht="12.75">
      <c r="A22" s="50"/>
      <c r="B22" s="3" t="s">
        <v>203</v>
      </c>
      <c r="C22" s="24">
        <v>1895</v>
      </c>
      <c r="D22" s="25">
        <v>1894</v>
      </c>
      <c r="E22" s="26">
        <v>-6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59">
        <f t="shared" si="2"/>
        <v>1888</v>
      </c>
    </row>
    <row r="23" spans="1:11" ht="12.75">
      <c r="A23" s="50"/>
      <c r="B23" s="117" t="s">
        <v>184</v>
      </c>
      <c r="C23" s="24">
        <v>0</v>
      </c>
      <c r="D23" s="25">
        <v>0</v>
      </c>
      <c r="E23" s="26">
        <v>0</v>
      </c>
      <c r="F23" s="24">
        <v>0</v>
      </c>
      <c r="G23" s="24">
        <v>0</v>
      </c>
      <c r="H23" s="24">
        <v>0</v>
      </c>
      <c r="I23" s="24">
        <v>1316</v>
      </c>
      <c r="J23" s="24">
        <v>0</v>
      </c>
      <c r="K23" s="59">
        <f t="shared" si="2"/>
        <v>1316</v>
      </c>
    </row>
    <row r="24" spans="1:11" ht="12.75">
      <c r="A24" s="50"/>
      <c r="B24" s="117" t="s">
        <v>212</v>
      </c>
      <c r="C24" s="24">
        <v>7952</v>
      </c>
      <c r="D24" s="25">
        <v>4000</v>
      </c>
      <c r="E24" s="26">
        <v>-12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59">
        <f t="shared" si="2"/>
        <v>3988</v>
      </c>
    </row>
    <row r="25" spans="1:11" ht="12.75">
      <c r="A25" s="50"/>
      <c r="B25" s="117" t="s">
        <v>213</v>
      </c>
      <c r="C25" s="24">
        <v>19100</v>
      </c>
      <c r="D25" s="25">
        <v>19100</v>
      </c>
      <c r="E25" s="26">
        <v>-56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59">
        <f t="shared" si="2"/>
        <v>19044</v>
      </c>
    </row>
    <row r="26" spans="1:11" s="11" customFormat="1" ht="12.75">
      <c r="A26" s="257"/>
      <c r="B26" s="259" t="s">
        <v>67</v>
      </c>
      <c r="C26" s="260">
        <f>SUM(C15:C25)-1</f>
        <v>361092</v>
      </c>
      <c r="D26" s="260">
        <f aca="true" t="shared" si="3" ref="D26:K26">SUM(D15:D25)</f>
        <v>340940</v>
      </c>
      <c r="E26" s="261">
        <f t="shared" si="3"/>
        <v>-1004</v>
      </c>
      <c r="F26" s="260">
        <f t="shared" si="3"/>
        <v>0</v>
      </c>
      <c r="G26" s="262">
        <f t="shared" si="3"/>
        <v>0</v>
      </c>
      <c r="H26" s="260">
        <f t="shared" si="3"/>
        <v>0</v>
      </c>
      <c r="I26" s="260">
        <f t="shared" si="3"/>
        <v>1516</v>
      </c>
      <c r="J26" s="260">
        <f t="shared" si="3"/>
        <v>0</v>
      </c>
      <c r="K26" s="260">
        <f t="shared" si="3"/>
        <v>341452</v>
      </c>
    </row>
    <row r="27" spans="1:11" ht="12.75">
      <c r="A27" s="50"/>
      <c r="B27" s="23"/>
      <c r="C27" s="24"/>
      <c r="D27" s="25"/>
      <c r="E27" s="26"/>
      <c r="F27" s="24"/>
      <c r="G27" s="26"/>
      <c r="H27" s="24"/>
      <c r="I27" s="94"/>
      <c r="J27" s="116"/>
      <c r="K27" s="25"/>
    </row>
    <row r="28" spans="1:11" ht="12.75">
      <c r="A28" s="50" t="s">
        <v>61</v>
      </c>
      <c r="B28" t="s">
        <v>12</v>
      </c>
      <c r="C28" s="24">
        <v>8789</v>
      </c>
      <c r="D28" s="25">
        <v>8789</v>
      </c>
      <c r="E28" s="26">
        <v>-26</v>
      </c>
      <c r="F28" s="24">
        <v>0</v>
      </c>
      <c r="G28" s="26">
        <v>0</v>
      </c>
      <c r="H28" s="24">
        <v>0</v>
      </c>
      <c r="I28" s="94">
        <v>0</v>
      </c>
      <c r="J28" s="116">
        <v>0</v>
      </c>
      <c r="K28" s="59">
        <f>SUM(D28:J28)</f>
        <v>8763</v>
      </c>
    </row>
    <row r="29" spans="1:11" ht="12.75">
      <c r="A29" s="257"/>
      <c r="B29" s="259" t="s">
        <v>117</v>
      </c>
      <c r="C29" s="260">
        <f>SUM(C28)</f>
        <v>8789</v>
      </c>
      <c r="D29" s="260">
        <f aca="true" t="shared" si="4" ref="D29:K29">SUM(D28)</f>
        <v>8789</v>
      </c>
      <c r="E29" s="260">
        <f t="shared" si="4"/>
        <v>-26</v>
      </c>
      <c r="F29" s="260">
        <f t="shared" si="4"/>
        <v>0</v>
      </c>
      <c r="G29" s="260">
        <f t="shared" si="4"/>
        <v>0</v>
      </c>
      <c r="H29" s="260">
        <f t="shared" si="4"/>
        <v>0</v>
      </c>
      <c r="I29" s="260">
        <f t="shared" si="4"/>
        <v>0</v>
      </c>
      <c r="J29" s="260">
        <f t="shared" si="4"/>
        <v>0</v>
      </c>
      <c r="K29" s="260">
        <f t="shared" si="4"/>
        <v>8763</v>
      </c>
    </row>
    <row r="30" spans="1:11" ht="12.75">
      <c r="A30" s="50"/>
      <c r="B30" s="34"/>
      <c r="C30" s="24"/>
      <c r="D30" s="25"/>
      <c r="E30" s="26"/>
      <c r="F30" s="24"/>
      <c r="G30" s="26"/>
      <c r="H30" s="24"/>
      <c r="I30" s="94"/>
      <c r="J30" s="116"/>
      <c r="K30" s="25"/>
    </row>
    <row r="31" spans="1:11" ht="12.75">
      <c r="A31" s="50" t="s">
        <v>60</v>
      </c>
      <c r="B31" t="s">
        <v>118</v>
      </c>
      <c r="C31" s="24">
        <v>1523</v>
      </c>
      <c r="D31" s="25">
        <v>3923</v>
      </c>
      <c r="E31" s="26">
        <v>-12</v>
      </c>
      <c r="F31" s="24">
        <v>0</v>
      </c>
      <c r="G31" s="26">
        <v>0</v>
      </c>
      <c r="H31" s="24">
        <v>0</v>
      </c>
      <c r="I31" s="94">
        <v>-2400</v>
      </c>
      <c r="J31" s="116">
        <v>0</v>
      </c>
      <c r="K31" s="59">
        <f>SUM(D31:J31)</f>
        <v>1511</v>
      </c>
    </row>
    <row r="32" spans="1:11" s="11" customFormat="1" ht="12.75">
      <c r="A32" s="257"/>
      <c r="B32" s="259" t="s">
        <v>119</v>
      </c>
      <c r="C32" s="260">
        <f>SUM(C31)</f>
        <v>1523</v>
      </c>
      <c r="D32" s="260">
        <f aca="true" t="shared" si="5" ref="D32:K32">SUM(D31)</f>
        <v>3923</v>
      </c>
      <c r="E32" s="260">
        <f t="shared" si="5"/>
        <v>-12</v>
      </c>
      <c r="F32" s="260">
        <f t="shared" si="5"/>
        <v>0</v>
      </c>
      <c r="G32" s="260">
        <f t="shared" si="5"/>
        <v>0</v>
      </c>
      <c r="H32" s="260">
        <f t="shared" si="5"/>
        <v>0</v>
      </c>
      <c r="I32" s="260">
        <f t="shared" si="5"/>
        <v>-2400</v>
      </c>
      <c r="J32" s="260">
        <f t="shared" si="5"/>
        <v>0</v>
      </c>
      <c r="K32" s="260">
        <f t="shared" si="5"/>
        <v>1511</v>
      </c>
    </row>
    <row r="33" spans="1:11" ht="12.75">
      <c r="A33" s="50"/>
      <c r="B33" s="34"/>
      <c r="C33" s="24"/>
      <c r="D33" s="25"/>
      <c r="E33" s="26"/>
      <c r="F33" s="24"/>
      <c r="G33" s="26"/>
      <c r="H33" s="24"/>
      <c r="I33" s="94"/>
      <c r="J33" s="116"/>
      <c r="K33" s="25"/>
    </row>
    <row r="34" spans="1:11" ht="12.75">
      <c r="A34" s="50" t="s">
        <v>64</v>
      </c>
      <c r="B34" t="s">
        <v>12</v>
      </c>
      <c r="C34" s="24">
        <v>25897</v>
      </c>
      <c r="D34" s="25">
        <v>25897</v>
      </c>
      <c r="E34" s="26">
        <v>-86</v>
      </c>
      <c r="F34" s="24">
        <v>0</v>
      </c>
      <c r="G34" s="26">
        <v>0</v>
      </c>
      <c r="H34" s="24">
        <v>0</v>
      </c>
      <c r="I34" s="94">
        <v>-276</v>
      </c>
      <c r="J34" s="116">
        <v>0</v>
      </c>
      <c r="K34" s="59">
        <f>SUM(D34:J34)+2-1</f>
        <v>25536</v>
      </c>
    </row>
    <row r="35" spans="1:11" s="11" customFormat="1" ht="12.75">
      <c r="A35" s="257"/>
      <c r="B35" s="259" t="s">
        <v>121</v>
      </c>
      <c r="C35" s="260">
        <f>SUM(C34)</f>
        <v>25897</v>
      </c>
      <c r="D35" s="260">
        <f aca="true" t="shared" si="6" ref="D35:K35">SUM(D34)</f>
        <v>25897</v>
      </c>
      <c r="E35" s="260">
        <f t="shared" si="6"/>
        <v>-86</v>
      </c>
      <c r="F35" s="260">
        <f t="shared" si="6"/>
        <v>0</v>
      </c>
      <c r="G35" s="260">
        <f t="shared" si="6"/>
        <v>0</v>
      </c>
      <c r="H35" s="260">
        <f t="shared" si="6"/>
        <v>0</v>
      </c>
      <c r="I35" s="260">
        <f t="shared" si="6"/>
        <v>-276</v>
      </c>
      <c r="J35" s="260">
        <f t="shared" si="6"/>
        <v>0</v>
      </c>
      <c r="K35" s="260">
        <f t="shared" si="6"/>
        <v>25536</v>
      </c>
    </row>
    <row r="36" spans="1:11" ht="12.75">
      <c r="A36" s="50"/>
      <c r="B36" s="34"/>
      <c r="C36" s="24"/>
      <c r="D36" s="25"/>
      <c r="E36" s="26"/>
      <c r="F36" s="24"/>
      <c r="G36" s="26"/>
      <c r="H36" s="24"/>
      <c r="I36" s="94"/>
      <c r="J36" s="116"/>
      <c r="K36" s="25"/>
    </row>
    <row r="37" spans="1:11" ht="12.75">
      <c r="A37" s="50" t="s">
        <v>168</v>
      </c>
      <c r="B37" t="s">
        <v>15</v>
      </c>
      <c r="C37" s="24">
        <v>19214</v>
      </c>
      <c r="D37" s="25">
        <v>10014</v>
      </c>
      <c r="E37" s="26">
        <v>-30</v>
      </c>
      <c r="F37" s="24">
        <v>0</v>
      </c>
      <c r="G37" s="26">
        <v>0</v>
      </c>
      <c r="H37" s="24">
        <v>0</v>
      </c>
      <c r="I37" s="94">
        <v>0</v>
      </c>
      <c r="J37" s="116">
        <v>0</v>
      </c>
      <c r="K37" s="59">
        <f>SUM(D37:J37)</f>
        <v>9984</v>
      </c>
    </row>
    <row r="38" spans="1:11" s="11" customFormat="1" ht="12.75">
      <c r="A38" s="257"/>
      <c r="B38" s="259" t="s">
        <v>122</v>
      </c>
      <c r="C38" s="260">
        <f>SUM(C37)</f>
        <v>19214</v>
      </c>
      <c r="D38" s="260">
        <f aca="true" t="shared" si="7" ref="D38:K38">SUM(D37)</f>
        <v>10014</v>
      </c>
      <c r="E38" s="260">
        <f t="shared" si="7"/>
        <v>-30</v>
      </c>
      <c r="F38" s="260">
        <f t="shared" si="7"/>
        <v>0</v>
      </c>
      <c r="G38" s="260">
        <f t="shared" si="7"/>
        <v>0</v>
      </c>
      <c r="H38" s="260">
        <f t="shared" si="7"/>
        <v>0</v>
      </c>
      <c r="I38" s="260">
        <f t="shared" si="7"/>
        <v>0</v>
      </c>
      <c r="J38" s="260">
        <f t="shared" si="7"/>
        <v>0</v>
      </c>
      <c r="K38" s="260">
        <f t="shared" si="7"/>
        <v>9984</v>
      </c>
    </row>
    <row r="39" spans="1:11" ht="12.75">
      <c r="A39" s="50"/>
      <c r="B39" s="35"/>
      <c r="C39" s="24"/>
      <c r="D39" s="25"/>
      <c r="E39" s="26"/>
      <c r="F39" s="24"/>
      <c r="G39" s="26"/>
      <c r="H39" s="24"/>
      <c r="I39" s="94"/>
      <c r="J39" s="116"/>
      <c r="K39" s="25"/>
    </row>
    <row r="40" spans="1:11" ht="12.75">
      <c r="A40" s="50" t="s">
        <v>62</v>
      </c>
      <c r="B40" t="s">
        <v>17</v>
      </c>
      <c r="C40" s="24">
        <v>5621</v>
      </c>
      <c r="D40" s="25">
        <v>8821</v>
      </c>
      <c r="E40" s="26">
        <v>-17</v>
      </c>
      <c r="F40" s="24">
        <v>0</v>
      </c>
      <c r="G40" s="26">
        <v>0</v>
      </c>
      <c r="H40" s="24">
        <v>0</v>
      </c>
      <c r="I40" s="94">
        <v>0</v>
      </c>
      <c r="J40" s="116">
        <v>0</v>
      </c>
      <c r="K40" s="59">
        <f>SUM(D40:J40)</f>
        <v>8804</v>
      </c>
    </row>
    <row r="41" spans="1:11" s="11" customFormat="1" ht="12.75">
      <c r="A41" s="257"/>
      <c r="B41" s="259" t="s">
        <v>66</v>
      </c>
      <c r="C41" s="260">
        <f>SUM(C40)</f>
        <v>5621</v>
      </c>
      <c r="D41" s="260">
        <f aca="true" t="shared" si="8" ref="D41:K41">SUM(D40)</f>
        <v>8821</v>
      </c>
      <c r="E41" s="260">
        <f t="shared" si="8"/>
        <v>-17</v>
      </c>
      <c r="F41" s="260">
        <f t="shared" si="8"/>
        <v>0</v>
      </c>
      <c r="G41" s="260">
        <f t="shared" si="8"/>
        <v>0</v>
      </c>
      <c r="H41" s="260">
        <f t="shared" si="8"/>
        <v>0</v>
      </c>
      <c r="I41" s="260">
        <f t="shared" si="8"/>
        <v>0</v>
      </c>
      <c r="J41" s="260">
        <f t="shared" si="8"/>
        <v>0</v>
      </c>
      <c r="K41" s="260">
        <f t="shared" si="8"/>
        <v>8804</v>
      </c>
    </row>
    <row r="42" spans="1:11" ht="12.75">
      <c r="A42" s="50"/>
      <c r="B42" s="23"/>
      <c r="C42" s="24"/>
      <c r="D42" s="25"/>
      <c r="E42" s="26"/>
      <c r="F42" s="24"/>
      <c r="G42" s="26"/>
      <c r="H42" s="24"/>
      <c r="I42" s="94"/>
      <c r="J42" s="116"/>
      <c r="K42" s="25"/>
    </row>
    <row r="43" spans="1:11" ht="12.75">
      <c r="A43" s="50" t="s">
        <v>169</v>
      </c>
      <c r="B43" t="s">
        <v>12</v>
      </c>
      <c r="C43" s="24">
        <v>11158</v>
      </c>
      <c r="D43" s="25">
        <v>11158</v>
      </c>
      <c r="E43" s="26">
        <v>-33</v>
      </c>
      <c r="F43" s="24">
        <v>0</v>
      </c>
      <c r="G43" s="26">
        <v>0</v>
      </c>
      <c r="H43" s="24">
        <v>0</v>
      </c>
      <c r="I43" s="94">
        <v>0</v>
      </c>
      <c r="J43" s="116">
        <v>0</v>
      </c>
      <c r="K43" s="59">
        <f>SUM(D43:J43)</f>
        <v>11125</v>
      </c>
    </row>
    <row r="44" spans="1:11" s="11" customFormat="1" ht="12.75">
      <c r="A44" s="257"/>
      <c r="B44" s="259" t="s">
        <v>123</v>
      </c>
      <c r="C44" s="260">
        <f>SUM(C43)</f>
        <v>11158</v>
      </c>
      <c r="D44" s="260">
        <f aca="true" t="shared" si="9" ref="D44:K44">SUM(D43)</f>
        <v>11158</v>
      </c>
      <c r="E44" s="260">
        <f t="shared" si="9"/>
        <v>-33</v>
      </c>
      <c r="F44" s="260">
        <f t="shared" si="9"/>
        <v>0</v>
      </c>
      <c r="G44" s="260">
        <f t="shared" si="9"/>
        <v>0</v>
      </c>
      <c r="H44" s="260">
        <f t="shared" si="9"/>
        <v>0</v>
      </c>
      <c r="I44" s="260">
        <f t="shared" si="9"/>
        <v>0</v>
      </c>
      <c r="J44" s="260">
        <f t="shared" si="9"/>
        <v>0</v>
      </c>
      <c r="K44" s="260">
        <f t="shared" si="9"/>
        <v>11125</v>
      </c>
    </row>
    <row r="45" spans="1:11" ht="12.75">
      <c r="A45" s="50"/>
      <c r="B45" s="23"/>
      <c r="C45" s="24"/>
      <c r="D45" s="25"/>
      <c r="E45" s="26"/>
      <c r="F45" s="24"/>
      <c r="G45" s="26"/>
      <c r="H45" s="24"/>
      <c r="I45" s="94"/>
      <c r="J45" s="116"/>
      <c r="K45" s="25"/>
    </row>
    <row r="46" spans="1:11" ht="12.75">
      <c r="A46" s="50" t="s">
        <v>170</v>
      </c>
      <c r="B46" t="s">
        <v>124</v>
      </c>
      <c r="C46" s="24">
        <v>1498</v>
      </c>
      <c r="D46" s="25">
        <v>1498</v>
      </c>
      <c r="E46" s="26">
        <v>-4</v>
      </c>
      <c r="F46" s="24">
        <v>0</v>
      </c>
      <c r="G46" s="26">
        <v>0</v>
      </c>
      <c r="H46" s="24">
        <v>0</v>
      </c>
      <c r="I46" s="94">
        <v>0</v>
      </c>
      <c r="J46" s="116">
        <v>0</v>
      </c>
      <c r="K46" s="59">
        <f>SUM(D46:J46)</f>
        <v>1494</v>
      </c>
    </row>
    <row r="47" spans="1:11" s="11" customFormat="1" ht="12.75">
      <c r="A47" s="257"/>
      <c r="B47" s="259" t="s">
        <v>125</v>
      </c>
      <c r="C47" s="260">
        <f>SUM(C46)</f>
        <v>1498</v>
      </c>
      <c r="D47" s="260">
        <f aca="true" t="shared" si="10" ref="D47:K47">SUM(D46)</f>
        <v>1498</v>
      </c>
      <c r="E47" s="260">
        <f t="shared" si="10"/>
        <v>-4</v>
      </c>
      <c r="F47" s="260">
        <f t="shared" si="10"/>
        <v>0</v>
      </c>
      <c r="G47" s="260">
        <f t="shared" si="10"/>
        <v>0</v>
      </c>
      <c r="H47" s="260">
        <f t="shared" si="10"/>
        <v>0</v>
      </c>
      <c r="I47" s="260">
        <f t="shared" si="10"/>
        <v>0</v>
      </c>
      <c r="J47" s="260">
        <f t="shared" si="10"/>
        <v>0</v>
      </c>
      <c r="K47" s="260">
        <f t="shared" si="10"/>
        <v>1494</v>
      </c>
    </row>
    <row r="48" spans="1:11" ht="12.75">
      <c r="A48" s="50"/>
      <c r="B48" s="34"/>
      <c r="C48" s="24"/>
      <c r="D48" s="25"/>
      <c r="E48" s="26"/>
      <c r="F48" s="24"/>
      <c r="G48" s="26"/>
      <c r="H48" s="24"/>
      <c r="I48" s="94"/>
      <c r="J48" s="116"/>
      <c r="K48" s="25"/>
    </row>
    <row r="49" spans="1:11" ht="12.75">
      <c r="A49" s="50" t="s">
        <v>171</v>
      </c>
      <c r="B49" t="s">
        <v>12</v>
      </c>
      <c r="C49" s="24">
        <v>2149</v>
      </c>
      <c r="D49" s="25">
        <v>2149</v>
      </c>
      <c r="E49" s="26">
        <v>-6</v>
      </c>
      <c r="F49" s="24">
        <v>0</v>
      </c>
      <c r="G49" s="26">
        <v>0</v>
      </c>
      <c r="H49" s="24">
        <v>0</v>
      </c>
      <c r="I49" s="94">
        <v>0</v>
      </c>
      <c r="J49" s="116">
        <v>0</v>
      </c>
      <c r="K49" s="59">
        <f>SUM(D49:J49)</f>
        <v>2143</v>
      </c>
    </row>
    <row r="50" spans="1:11" s="11" customFormat="1" ht="12.75">
      <c r="A50" s="257"/>
      <c r="B50" s="259" t="s">
        <v>126</v>
      </c>
      <c r="C50" s="260">
        <f>SUM(C49)</f>
        <v>2149</v>
      </c>
      <c r="D50" s="260">
        <f aca="true" t="shared" si="11" ref="D50:K50">SUM(D49)</f>
        <v>2149</v>
      </c>
      <c r="E50" s="260">
        <f t="shared" si="11"/>
        <v>-6</v>
      </c>
      <c r="F50" s="260">
        <f t="shared" si="11"/>
        <v>0</v>
      </c>
      <c r="G50" s="260">
        <f t="shared" si="11"/>
        <v>0</v>
      </c>
      <c r="H50" s="260">
        <f t="shared" si="11"/>
        <v>0</v>
      </c>
      <c r="I50" s="260">
        <f t="shared" si="11"/>
        <v>0</v>
      </c>
      <c r="J50" s="260">
        <f t="shared" si="11"/>
        <v>0</v>
      </c>
      <c r="K50" s="260">
        <f t="shared" si="11"/>
        <v>2143</v>
      </c>
    </row>
    <row r="51" spans="1:11" ht="12.75">
      <c r="A51" s="50"/>
      <c r="B51" s="23"/>
      <c r="C51" s="24"/>
      <c r="D51" s="25"/>
      <c r="E51" s="26"/>
      <c r="F51" s="24"/>
      <c r="G51" s="26"/>
      <c r="H51" s="24"/>
      <c r="I51" s="94"/>
      <c r="J51" s="116"/>
      <c r="K51" s="25"/>
    </row>
    <row r="52" spans="1:11" ht="12.75">
      <c r="A52" s="50" t="s">
        <v>172</v>
      </c>
      <c r="B52" t="s">
        <v>12</v>
      </c>
      <c r="C52" s="24">
        <v>689</v>
      </c>
      <c r="D52" s="25">
        <v>689</v>
      </c>
      <c r="E52" s="26">
        <v>-2</v>
      </c>
      <c r="F52" s="24">
        <v>0</v>
      </c>
      <c r="G52" s="26">
        <v>0</v>
      </c>
      <c r="H52" s="24">
        <v>0</v>
      </c>
      <c r="I52" s="94">
        <v>0</v>
      </c>
      <c r="J52" s="116">
        <v>0</v>
      </c>
      <c r="K52" s="59">
        <f>SUM(D52:J52)</f>
        <v>687</v>
      </c>
    </row>
    <row r="53" spans="1:11" s="11" customFormat="1" ht="12.75">
      <c r="A53" s="257"/>
      <c r="B53" s="259" t="s">
        <v>127</v>
      </c>
      <c r="C53" s="260">
        <f>SUM(C52)</f>
        <v>689</v>
      </c>
      <c r="D53" s="260">
        <f aca="true" t="shared" si="12" ref="D53:K53">SUM(D52)</f>
        <v>689</v>
      </c>
      <c r="E53" s="260">
        <f t="shared" si="12"/>
        <v>-2</v>
      </c>
      <c r="F53" s="260">
        <f t="shared" si="12"/>
        <v>0</v>
      </c>
      <c r="G53" s="260">
        <f t="shared" si="12"/>
        <v>0</v>
      </c>
      <c r="H53" s="260">
        <f t="shared" si="12"/>
        <v>0</v>
      </c>
      <c r="I53" s="260">
        <f t="shared" si="12"/>
        <v>0</v>
      </c>
      <c r="J53" s="260">
        <f t="shared" si="12"/>
        <v>0</v>
      </c>
      <c r="K53" s="260">
        <f t="shared" si="12"/>
        <v>687</v>
      </c>
    </row>
    <row r="54" spans="1:11" s="11" customFormat="1" ht="12.75">
      <c r="A54" s="50"/>
      <c r="C54" s="56"/>
      <c r="D54" s="56"/>
      <c r="E54" s="56"/>
      <c r="F54" s="56"/>
      <c r="G54" s="56"/>
      <c r="H54" s="56"/>
      <c r="I54" s="124"/>
      <c r="J54" s="124"/>
      <c r="K54" s="56"/>
    </row>
    <row r="55" spans="1:11" s="11" customFormat="1" ht="12.75">
      <c r="A55" s="50" t="s">
        <v>205</v>
      </c>
      <c r="B55" s="27" t="s">
        <v>206</v>
      </c>
      <c r="C55" s="24">
        <v>436</v>
      </c>
      <c r="D55" s="25">
        <v>436</v>
      </c>
      <c r="E55" s="26">
        <v>-1</v>
      </c>
      <c r="F55" s="24">
        <v>0</v>
      </c>
      <c r="G55" s="26">
        <v>0</v>
      </c>
      <c r="H55" s="24">
        <v>0</v>
      </c>
      <c r="I55" s="94">
        <v>0</v>
      </c>
      <c r="J55" s="116">
        <v>0</v>
      </c>
      <c r="K55" s="59">
        <f>SUM(D55:J55)</f>
        <v>435</v>
      </c>
    </row>
    <row r="56" spans="1:11" s="11" customFormat="1" ht="12.75">
      <c r="A56" s="257"/>
      <c r="B56" s="259" t="s">
        <v>204</v>
      </c>
      <c r="C56" s="260">
        <f>SUM(C55)</f>
        <v>436</v>
      </c>
      <c r="D56" s="260">
        <f aca="true" t="shared" si="13" ref="D56:K56">SUM(D55)</f>
        <v>436</v>
      </c>
      <c r="E56" s="260">
        <f t="shared" si="13"/>
        <v>-1</v>
      </c>
      <c r="F56" s="260">
        <f t="shared" si="13"/>
        <v>0</v>
      </c>
      <c r="G56" s="260">
        <f t="shared" si="13"/>
        <v>0</v>
      </c>
      <c r="H56" s="260">
        <f t="shared" si="13"/>
        <v>0</v>
      </c>
      <c r="I56" s="260">
        <f t="shared" si="13"/>
        <v>0</v>
      </c>
      <c r="J56" s="260">
        <f t="shared" si="13"/>
        <v>0</v>
      </c>
      <c r="K56" s="260">
        <f t="shared" si="13"/>
        <v>435</v>
      </c>
    </row>
    <row r="57" spans="1:11" s="11" customFormat="1" ht="12.75">
      <c r="A57" s="50"/>
      <c r="C57" s="56"/>
      <c r="D57" s="56"/>
      <c r="E57" s="56"/>
      <c r="F57" s="56"/>
      <c r="G57" s="56"/>
      <c r="H57" s="56"/>
      <c r="I57" s="124"/>
      <c r="J57" s="124"/>
      <c r="K57" s="56"/>
    </row>
    <row r="58" spans="1:11" s="11" customFormat="1" ht="12.75">
      <c r="A58" s="50" t="s">
        <v>179</v>
      </c>
      <c r="B58" s="93" t="s">
        <v>4</v>
      </c>
      <c r="C58" s="116">
        <v>4505</v>
      </c>
      <c r="D58" s="25">
        <v>4505</v>
      </c>
      <c r="E58" s="116">
        <v>-13</v>
      </c>
      <c r="F58" s="116">
        <v>0</v>
      </c>
      <c r="G58" s="26">
        <v>0</v>
      </c>
      <c r="H58" s="116">
        <v>0</v>
      </c>
      <c r="I58" s="94">
        <v>0</v>
      </c>
      <c r="J58" s="116">
        <f>SUM('FY 09-11 DD 1416 Tracker-Total'!AU70)</f>
        <v>0</v>
      </c>
      <c r="K58" s="59">
        <f>SUM(D58:J58)</f>
        <v>4492</v>
      </c>
    </row>
    <row r="59" spans="1:11" s="11" customFormat="1" ht="12.75">
      <c r="A59" s="257"/>
      <c r="B59" s="259" t="s">
        <v>48</v>
      </c>
      <c r="C59" s="260">
        <f aca="true" t="shared" si="14" ref="C59:K59">SUM(C58)</f>
        <v>4505</v>
      </c>
      <c r="D59" s="260">
        <f t="shared" si="14"/>
        <v>4505</v>
      </c>
      <c r="E59" s="260">
        <f t="shared" si="14"/>
        <v>-13</v>
      </c>
      <c r="F59" s="260">
        <f t="shared" si="14"/>
        <v>0</v>
      </c>
      <c r="G59" s="260">
        <f t="shared" si="14"/>
        <v>0</v>
      </c>
      <c r="H59" s="260">
        <f t="shared" si="14"/>
        <v>0</v>
      </c>
      <c r="I59" s="260">
        <f t="shared" si="14"/>
        <v>0</v>
      </c>
      <c r="J59" s="260">
        <f t="shared" si="14"/>
        <v>0</v>
      </c>
      <c r="K59" s="260">
        <f t="shared" si="14"/>
        <v>4492</v>
      </c>
    </row>
    <row r="60" spans="1:11" s="11" customFormat="1" ht="13.5" thickBot="1">
      <c r="A60" s="50"/>
      <c r="C60" s="56"/>
      <c r="D60" s="56"/>
      <c r="E60" s="56"/>
      <c r="F60" s="56"/>
      <c r="G60" s="56"/>
      <c r="H60" s="56"/>
      <c r="I60" s="124"/>
      <c r="J60" s="124"/>
      <c r="K60" s="56"/>
    </row>
    <row r="61" spans="1:11" s="52" customFormat="1" ht="13.5" thickBot="1">
      <c r="A61" s="245"/>
      <c r="B61" s="51" t="s">
        <v>232</v>
      </c>
      <c r="C61" s="38">
        <f>SUM(C9+C13+C26+C29+C32+C35+C38+C41+C44+C47+C50+C53+C56+C59)</f>
        <v>575166</v>
      </c>
      <c r="D61" s="38">
        <f aca="true" t="shared" si="15" ref="D61:K61">SUM(D9+D13+D26+D29+D32+D35+D38+D41+D44+D47+D50+D53+D56+D59)</f>
        <v>551414</v>
      </c>
      <c r="E61" s="38">
        <f t="shared" si="15"/>
        <v>-1625</v>
      </c>
      <c r="F61" s="38">
        <f t="shared" si="15"/>
        <v>0</v>
      </c>
      <c r="G61" s="38">
        <f t="shared" si="15"/>
        <v>0</v>
      </c>
      <c r="H61" s="38">
        <f t="shared" si="15"/>
        <v>0</v>
      </c>
      <c r="I61" s="38">
        <f t="shared" si="15"/>
        <v>-3433</v>
      </c>
      <c r="J61" s="38">
        <f t="shared" si="15"/>
        <v>0</v>
      </c>
      <c r="K61" s="38">
        <f t="shared" si="15"/>
        <v>546357</v>
      </c>
    </row>
    <row r="62" spans="1:11" ht="12.75">
      <c r="A62" s="246"/>
      <c r="B62" s="36"/>
      <c r="C62" s="24"/>
      <c r="D62" s="25"/>
      <c r="E62" s="26"/>
      <c r="F62" s="24"/>
      <c r="G62" s="26"/>
      <c r="H62" s="24"/>
      <c r="I62" s="94"/>
      <c r="J62" s="116"/>
      <c r="K62" s="25"/>
    </row>
    <row r="63" spans="1:13" ht="12.75">
      <c r="A63" s="50" t="s">
        <v>174</v>
      </c>
      <c r="B63" s="3" t="s">
        <v>22</v>
      </c>
      <c r="C63" s="24">
        <v>51950</v>
      </c>
      <c r="D63" s="25">
        <v>89350</v>
      </c>
      <c r="E63" s="26">
        <v>-153</v>
      </c>
      <c r="F63" s="24">
        <v>0</v>
      </c>
      <c r="G63" s="26">
        <v>0</v>
      </c>
      <c r="H63" s="24">
        <v>0</v>
      </c>
      <c r="I63" s="94">
        <v>0</v>
      </c>
      <c r="J63" s="116">
        <v>4194</v>
      </c>
      <c r="K63" s="59">
        <f>SUM(D63:J63)</f>
        <v>93391</v>
      </c>
      <c r="L63" s="16"/>
      <c r="M63" s="16"/>
    </row>
    <row r="64" spans="1:13" ht="12.75">
      <c r="A64" s="50"/>
      <c r="B64" s="3" t="s">
        <v>254</v>
      </c>
      <c r="C64" s="24">
        <v>63667</v>
      </c>
      <c r="D64" s="25">
        <v>63667</v>
      </c>
      <c r="E64" s="26">
        <v>-188</v>
      </c>
      <c r="F64" s="24">
        <v>0</v>
      </c>
      <c r="G64" s="26">
        <v>0</v>
      </c>
      <c r="H64" s="24">
        <v>0</v>
      </c>
      <c r="I64" s="94">
        <v>366</v>
      </c>
      <c r="J64" s="116">
        <v>11201</v>
      </c>
      <c r="K64" s="59">
        <f aca="true" t="shared" si="16" ref="K64:K98">SUM(D64:J64)</f>
        <v>75046</v>
      </c>
      <c r="L64" s="16"/>
      <c r="M64" s="16"/>
    </row>
    <row r="65" spans="1:13" ht="12.75">
      <c r="A65" s="50"/>
      <c r="B65" s="3" t="s">
        <v>23</v>
      </c>
      <c r="C65" s="24">
        <v>98163</v>
      </c>
      <c r="D65" s="25">
        <v>98163</v>
      </c>
      <c r="E65" s="26">
        <v>-400</v>
      </c>
      <c r="F65" s="24">
        <v>0</v>
      </c>
      <c r="G65" s="26">
        <v>0</v>
      </c>
      <c r="H65" s="24">
        <v>0</v>
      </c>
      <c r="I65" s="94">
        <v>0</v>
      </c>
      <c r="J65" s="116">
        <v>-1800</v>
      </c>
      <c r="K65" s="59">
        <f t="shared" si="16"/>
        <v>95963</v>
      </c>
      <c r="L65" s="16"/>
      <c r="M65" s="16"/>
    </row>
    <row r="66" spans="1:13" ht="12.75">
      <c r="A66" s="50"/>
      <c r="B66" s="3" t="s">
        <v>133</v>
      </c>
      <c r="C66" s="24">
        <v>39172</v>
      </c>
      <c r="D66" s="25">
        <v>39172</v>
      </c>
      <c r="E66" s="26">
        <v>-116</v>
      </c>
      <c r="F66" s="24">
        <v>0</v>
      </c>
      <c r="G66" s="26">
        <v>0</v>
      </c>
      <c r="H66" s="24">
        <v>0</v>
      </c>
      <c r="I66" s="94">
        <v>0</v>
      </c>
      <c r="J66" s="116">
        <v>10740</v>
      </c>
      <c r="K66" s="59">
        <f t="shared" si="16"/>
        <v>49796</v>
      </c>
      <c r="L66" s="16"/>
      <c r="M66" s="16"/>
    </row>
    <row r="67" spans="1:13" ht="12.75">
      <c r="A67" s="50"/>
      <c r="B67" s="3" t="s">
        <v>134</v>
      </c>
      <c r="C67" s="24">
        <v>36286</v>
      </c>
      <c r="D67" s="25">
        <v>11286</v>
      </c>
      <c r="E67" s="26">
        <v>-33</v>
      </c>
      <c r="F67" s="24">
        <v>0</v>
      </c>
      <c r="G67" s="26">
        <v>0</v>
      </c>
      <c r="H67" s="24">
        <v>0</v>
      </c>
      <c r="I67" s="94">
        <v>0</v>
      </c>
      <c r="J67" s="116">
        <v>0</v>
      </c>
      <c r="K67" s="59">
        <f t="shared" si="16"/>
        <v>11253</v>
      </c>
      <c r="L67" s="16"/>
      <c r="M67" s="16"/>
    </row>
    <row r="68" spans="1:13" ht="12.75">
      <c r="A68" s="50"/>
      <c r="B68" s="3" t="s">
        <v>219</v>
      </c>
      <c r="C68" s="24">
        <v>7659</v>
      </c>
      <c r="D68" s="25">
        <v>7659</v>
      </c>
      <c r="E68" s="26">
        <v>-23</v>
      </c>
      <c r="F68" s="24">
        <v>0</v>
      </c>
      <c r="G68" s="26">
        <v>0</v>
      </c>
      <c r="H68" s="24">
        <v>0</v>
      </c>
      <c r="I68" s="94">
        <v>0</v>
      </c>
      <c r="J68" s="116">
        <v>0</v>
      </c>
      <c r="K68" s="59">
        <f t="shared" si="16"/>
        <v>7636</v>
      </c>
      <c r="L68" s="16"/>
      <c r="M68" s="16"/>
    </row>
    <row r="69" spans="1:13" ht="12.75">
      <c r="A69" s="50"/>
      <c r="B69" s="3" t="s">
        <v>24</v>
      </c>
      <c r="C69" s="24">
        <v>162971</v>
      </c>
      <c r="D69" s="25">
        <v>162971</v>
      </c>
      <c r="E69" s="26">
        <v>-481</v>
      </c>
      <c r="F69" s="24">
        <v>0</v>
      </c>
      <c r="G69" s="26">
        <v>0</v>
      </c>
      <c r="H69" s="24">
        <v>0</v>
      </c>
      <c r="I69" s="94">
        <v>0</v>
      </c>
      <c r="J69" s="116">
        <v>-7460</v>
      </c>
      <c r="K69" s="59">
        <f t="shared" si="16"/>
        <v>155030</v>
      </c>
      <c r="L69" s="16"/>
      <c r="M69" s="16"/>
    </row>
    <row r="70" spans="1:13" ht="12.75">
      <c r="A70" s="50"/>
      <c r="B70" s="3" t="s">
        <v>25</v>
      </c>
      <c r="C70" s="24">
        <v>47018</v>
      </c>
      <c r="D70" s="25">
        <v>33277</v>
      </c>
      <c r="E70" s="26">
        <v>-98</v>
      </c>
      <c r="F70" s="24">
        <v>0</v>
      </c>
      <c r="G70" s="26">
        <v>17000</v>
      </c>
      <c r="H70" s="24">
        <v>0</v>
      </c>
      <c r="I70" s="94">
        <v>141300</v>
      </c>
      <c r="J70" s="116">
        <v>-2392</v>
      </c>
      <c r="K70" s="59">
        <f t="shared" si="16"/>
        <v>189087</v>
      </c>
      <c r="L70" s="16"/>
      <c r="M70" s="16"/>
    </row>
    <row r="71" spans="1:13" ht="12.75">
      <c r="A71" s="50"/>
      <c r="B71" s="3" t="s">
        <v>26</v>
      </c>
      <c r="C71" s="24">
        <v>1347</v>
      </c>
      <c r="D71" s="25">
        <v>1347</v>
      </c>
      <c r="E71" s="26">
        <v>-4</v>
      </c>
      <c r="F71" s="24">
        <v>0</v>
      </c>
      <c r="G71" s="26">
        <v>0</v>
      </c>
      <c r="H71" s="24">
        <v>0</v>
      </c>
      <c r="I71" s="94">
        <v>0</v>
      </c>
      <c r="J71" s="116">
        <v>-237</v>
      </c>
      <c r="K71" s="59">
        <f t="shared" si="16"/>
        <v>1106</v>
      </c>
      <c r="L71" s="16"/>
      <c r="M71" s="16"/>
    </row>
    <row r="72" spans="1:13" ht="12.75">
      <c r="A72" s="50"/>
      <c r="B72" s="3" t="s">
        <v>27</v>
      </c>
      <c r="C72" s="24">
        <v>5760</v>
      </c>
      <c r="D72" s="25">
        <v>5760</v>
      </c>
      <c r="E72" s="26">
        <v>-17</v>
      </c>
      <c r="F72" s="24">
        <v>0</v>
      </c>
      <c r="G72" s="26">
        <v>0</v>
      </c>
      <c r="H72" s="24">
        <v>0</v>
      </c>
      <c r="I72" s="94">
        <v>0</v>
      </c>
      <c r="J72" s="116">
        <v>0</v>
      </c>
      <c r="K72" s="59">
        <f t="shared" si="16"/>
        <v>5743</v>
      </c>
      <c r="L72" s="16"/>
      <c r="M72" s="16"/>
    </row>
    <row r="73" spans="1:13" ht="12.75">
      <c r="A73" s="50"/>
      <c r="B73" s="3" t="s">
        <v>28</v>
      </c>
      <c r="C73" s="24">
        <v>7061</v>
      </c>
      <c r="D73" s="25">
        <v>7061</v>
      </c>
      <c r="E73" s="26">
        <v>-21</v>
      </c>
      <c r="F73" s="24">
        <v>0</v>
      </c>
      <c r="G73" s="26">
        <v>0</v>
      </c>
      <c r="H73" s="24">
        <v>0</v>
      </c>
      <c r="I73" s="94">
        <v>0</v>
      </c>
      <c r="J73" s="116">
        <v>0</v>
      </c>
      <c r="K73" s="59">
        <f t="shared" si="16"/>
        <v>7040</v>
      </c>
      <c r="L73" s="16"/>
      <c r="M73" s="16"/>
    </row>
    <row r="74" spans="1:13" ht="12.75">
      <c r="A74" s="50"/>
      <c r="B74" s="3" t="s">
        <v>135</v>
      </c>
      <c r="C74" s="24">
        <v>67083</v>
      </c>
      <c r="D74" s="25">
        <v>67083</v>
      </c>
      <c r="E74" s="26">
        <v>-198</v>
      </c>
      <c r="F74" s="24">
        <v>0</v>
      </c>
      <c r="G74" s="26">
        <f>43640+1000</f>
        <v>44640</v>
      </c>
      <c r="H74" s="24">
        <v>0</v>
      </c>
      <c r="I74" s="94">
        <v>0</v>
      </c>
      <c r="J74" s="116">
        <v>-5924</v>
      </c>
      <c r="K74" s="59">
        <f t="shared" si="16"/>
        <v>105601</v>
      </c>
      <c r="L74" s="16"/>
      <c r="M74" s="16"/>
    </row>
    <row r="75" spans="1:13" ht="12.75">
      <c r="A75" s="50"/>
      <c r="B75" s="3" t="s">
        <v>136</v>
      </c>
      <c r="C75" s="24">
        <v>5540</v>
      </c>
      <c r="D75" s="25">
        <v>12540</v>
      </c>
      <c r="E75" s="26">
        <v>-37</v>
      </c>
      <c r="F75" s="24">
        <v>0</v>
      </c>
      <c r="G75" s="26">
        <v>0</v>
      </c>
      <c r="H75" s="24">
        <v>0</v>
      </c>
      <c r="I75" s="94">
        <v>0</v>
      </c>
      <c r="J75" s="116">
        <v>7051</v>
      </c>
      <c r="K75" s="59">
        <f t="shared" si="16"/>
        <v>19554</v>
      </c>
      <c r="L75" s="16"/>
      <c r="M75" s="16"/>
    </row>
    <row r="76" spans="1:13" ht="12.75">
      <c r="A76" s="50"/>
      <c r="B76" s="3" t="s">
        <v>137</v>
      </c>
      <c r="C76" s="24">
        <v>67220</v>
      </c>
      <c r="D76" s="25">
        <v>73220</v>
      </c>
      <c r="E76" s="26">
        <v>-216</v>
      </c>
      <c r="F76" s="24">
        <v>0</v>
      </c>
      <c r="G76" s="26">
        <v>3100</v>
      </c>
      <c r="H76" s="24">
        <v>0</v>
      </c>
      <c r="I76" s="94">
        <v>0</v>
      </c>
      <c r="J76" s="116">
        <v>7058</v>
      </c>
      <c r="K76" s="59">
        <f t="shared" si="16"/>
        <v>83162</v>
      </c>
      <c r="L76" s="16"/>
      <c r="M76" s="16"/>
    </row>
    <row r="77" spans="1:13" ht="12.75">
      <c r="A77" s="50"/>
      <c r="B77" s="3" t="s">
        <v>29</v>
      </c>
      <c r="C77" s="24">
        <v>54122</v>
      </c>
      <c r="D77" s="25">
        <v>56122</v>
      </c>
      <c r="E77" s="26">
        <v>-165</v>
      </c>
      <c r="F77" s="24">
        <v>0</v>
      </c>
      <c r="G77" s="26">
        <v>8100</v>
      </c>
      <c r="H77" s="24">
        <v>0</v>
      </c>
      <c r="I77" s="94">
        <v>0</v>
      </c>
      <c r="J77" s="116">
        <v>2391</v>
      </c>
      <c r="K77" s="59">
        <f t="shared" si="16"/>
        <v>66448</v>
      </c>
      <c r="L77" s="16"/>
      <c r="M77" s="16"/>
    </row>
    <row r="78" spans="1:13" ht="12.75">
      <c r="A78" s="50"/>
      <c r="B78" s="3" t="s">
        <v>31</v>
      </c>
      <c r="C78" s="24">
        <v>15689</v>
      </c>
      <c r="D78" s="25">
        <v>23489</v>
      </c>
      <c r="E78" s="26">
        <v>-69</v>
      </c>
      <c r="F78" s="24">
        <v>0</v>
      </c>
      <c r="G78" s="26">
        <v>16250</v>
      </c>
      <c r="H78" s="24">
        <v>0</v>
      </c>
      <c r="I78" s="94">
        <v>0</v>
      </c>
      <c r="J78" s="116">
        <v>-103</v>
      </c>
      <c r="K78" s="59">
        <f t="shared" si="16"/>
        <v>39567</v>
      </c>
      <c r="L78" s="16"/>
      <c r="M78" s="16"/>
    </row>
    <row r="79" spans="1:13" ht="12.75">
      <c r="A79" s="50"/>
      <c r="B79" s="3" t="s">
        <v>32</v>
      </c>
      <c r="C79" s="24">
        <v>1265</v>
      </c>
      <c r="D79" s="25">
        <v>1265</v>
      </c>
      <c r="E79" s="26">
        <v>-4</v>
      </c>
      <c r="F79" s="24">
        <v>0</v>
      </c>
      <c r="G79" s="26">
        <v>0</v>
      </c>
      <c r="H79" s="24">
        <v>0</v>
      </c>
      <c r="I79" s="94">
        <v>0</v>
      </c>
      <c r="J79" s="116">
        <v>0</v>
      </c>
      <c r="K79" s="59">
        <f t="shared" si="16"/>
        <v>1261</v>
      </c>
      <c r="L79" s="16"/>
      <c r="M79" s="16"/>
    </row>
    <row r="80" spans="1:13" ht="12.75">
      <c r="A80" s="50"/>
      <c r="B80" s="3" t="s">
        <v>138</v>
      </c>
      <c r="C80" s="24">
        <v>12484</v>
      </c>
      <c r="D80" s="25">
        <v>12484</v>
      </c>
      <c r="E80" s="26">
        <v>-37</v>
      </c>
      <c r="F80" s="24">
        <v>0</v>
      </c>
      <c r="G80" s="26">
        <v>0</v>
      </c>
      <c r="H80" s="24">
        <v>0</v>
      </c>
      <c r="I80" s="94">
        <v>0</v>
      </c>
      <c r="J80" s="116">
        <v>0</v>
      </c>
      <c r="K80" s="59">
        <f t="shared" si="16"/>
        <v>12447</v>
      </c>
      <c r="L80" s="16"/>
      <c r="M80" s="16"/>
    </row>
    <row r="81" spans="1:13" ht="12.75">
      <c r="A81" s="50"/>
      <c r="B81" s="3" t="s">
        <v>33</v>
      </c>
      <c r="C81" s="24">
        <v>18795</v>
      </c>
      <c r="D81" s="25">
        <v>21675</v>
      </c>
      <c r="E81" s="26">
        <v>-64</v>
      </c>
      <c r="F81" s="24">
        <v>0</v>
      </c>
      <c r="G81" s="26">
        <v>0</v>
      </c>
      <c r="H81" s="24">
        <v>0</v>
      </c>
      <c r="I81" s="94">
        <v>0</v>
      </c>
      <c r="J81" s="116">
        <v>-495</v>
      </c>
      <c r="K81" s="59">
        <f t="shared" si="16"/>
        <v>21116</v>
      </c>
      <c r="L81" s="16"/>
      <c r="M81" s="16"/>
    </row>
    <row r="82" spans="1:13" ht="12.75">
      <c r="A82" s="50"/>
      <c r="B82" s="3" t="s">
        <v>34</v>
      </c>
      <c r="C82" s="24">
        <v>3272</v>
      </c>
      <c r="D82" s="25">
        <v>3272</v>
      </c>
      <c r="E82" s="26">
        <v>-10</v>
      </c>
      <c r="F82" s="24">
        <v>0</v>
      </c>
      <c r="G82" s="26">
        <v>0</v>
      </c>
      <c r="H82" s="24">
        <v>0</v>
      </c>
      <c r="I82" s="94">
        <v>0</v>
      </c>
      <c r="J82" s="116">
        <v>-651</v>
      </c>
      <c r="K82" s="59">
        <f t="shared" si="16"/>
        <v>2611</v>
      </c>
      <c r="L82" s="16"/>
      <c r="M82" s="16"/>
    </row>
    <row r="83" spans="1:13" ht="12.75">
      <c r="A83" s="50"/>
      <c r="B83" s="3" t="s">
        <v>35</v>
      </c>
      <c r="C83" s="24">
        <v>3702</v>
      </c>
      <c r="D83" s="25">
        <v>3702</v>
      </c>
      <c r="E83" s="26">
        <v>-11</v>
      </c>
      <c r="F83" s="24">
        <v>0</v>
      </c>
      <c r="G83" s="26">
        <v>-6400</v>
      </c>
      <c r="H83" s="24">
        <v>0</v>
      </c>
      <c r="I83" s="94">
        <f>17000+142000</f>
        <v>159000</v>
      </c>
      <c r="J83" s="116">
        <v>900</v>
      </c>
      <c r="K83" s="59">
        <f t="shared" si="16"/>
        <v>157191</v>
      </c>
      <c r="L83" s="16"/>
      <c r="M83" s="16"/>
    </row>
    <row r="84" spans="1:13" ht="12.75">
      <c r="A84" s="50"/>
      <c r="B84" s="3" t="s">
        <v>139</v>
      </c>
      <c r="C84" s="24">
        <v>34151</v>
      </c>
      <c r="D84" s="25">
        <v>36151</v>
      </c>
      <c r="E84" s="26">
        <v>-107</v>
      </c>
      <c r="F84" s="24">
        <v>0</v>
      </c>
      <c r="G84" s="26">
        <v>0</v>
      </c>
      <c r="H84" s="24">
        <v>0</v>
      </c>
      <c r="I84" s="94">
        <v>0</v>
      </c>
      <c r="J84" s="116">
        <v>0</v>
      </c>
      <c r="K84" s="59">
        <f t="shared" si="16"/>
        <v>36044</v>
      </c>
      <c r="L84" s="16"/>
      <c r="M84" s="16"/>
    </row>
    <row r="85" spans="1:13" ht="12.75">
      <c r="A85" s="50"/>
      <c r="B85" s="3" t="s">
        <v>140</v>
      </c>
      <c r="C85" s="24">
        <v>21593</v>
      </c>
      <c r="D85" s="25">
        <v>20000</v>
      </c>
      <c r="E85" s="26">
        <v>-59</v>
      </c>
      <c r="F85" s="24">
        <v>0</v>
      </c>
      <c r="G85" s="26">
        <v>0</v>
      </c>
      <c r="H85" s="24">
        <v>0</v>
      </c>
      <c r="I85" s="94">
        <v>0</v>
      </c>
      <c r="J85" s="116">
        <v>1059</v>
      </c>
      <c r="K85" s="59">
        <f t="shared" si="16"/>
        <v>21000</v>
      </c>
      <c r="L85" s="16"/>
      <c r="M85" s="16"/>
    </row>
    <row r="86" spans="1:13" ht="12.75">
      <c r="A86" s="50"/>
      <c r="B86" s="3" t="s">
        <v>36</v>
      </c>
      <c r="C86" s="24">
        <v>11722</v>
      </c>
      <c r="D86" s="25">
        <v>11722</v>
      </c>
      <c r="E86" s="26">
        <v>-35</v>
      </c>
      <c r="F86" s="24">
        <v>0</v>
      </c>
      <c r="G86" s="26">
        <v>0</v>
      </c>
      <c r="H86" s="24">
        <v>0</v>
      </c>
      <c r="I86" s="94">
        <v>0</v>
      </c>
      <c r="J86" s="116">
        <v>-2337</v>
      </c>
      <c r="K86" s="59">
        <f t="shared" si="16"/>
        <v>9350</v>
      </c>
      <c r="L86" s="16"/>
      <c r="M86" s="16"/>
    </row>
    <row r="87" spans="1:13" ht="12.75">
      <c r="A87" s="50"/>
      <c r="B87" s="3" t="s">
        <v>37</v>
      </c>
      <c r="C87" s="24">
        <v>27194</v>
      </c>
      <c r="D87" s="25">
        <v>55561</v>
      </c>
      <c r="E87" s="26">
        <v>-164</v>
      </c>
      <c r="F87" s="24">
        <v>0</v>
      </c>
      <c r="G87" s="26">
        <v>0</v>
      </c>
      <c r="H87" s="24">
        <v>0</v>
      </c>
      <c r="I87" s="94">
        <v>0</v>
      </c>
      <c r="J87" s="116">
        <v>0</v>
      </c>
      <c r="K87" s="59">
        <f t="shared" si="16"/>
        <v>55397</v>
      </c>
      <c r="L87" s="16"/>
      <c r="M87" s="16"/>
    </row>
    <row r="88" spans="1:13" ht="12.75">
      <c r="A88" s="50"/>
      <c r="B88" s="3" t="s">
        <v>220</v>
      </c>
      <c r="C88" s="24">
        <v>55248</v>
      </c>
      <c r="D88" s="25">
        <v>55248</v>
      </c>
      <c r="E88" s="26">
        <v>-163</v>
      </c>
      <c r="F88" s="24">
        <v>0</v>
      </c>
      <c r="G88" s="26">
        <v>0</v>
      </c>
      <c r="H88" s="24">
        <v>0</v>
      </c>
      <c r="I88" s="94">
        <v>0</v>
      </c>
      <c r="J88" s="116">
        <v>288</v>
      </c>
      <c r="K88" s="59">
        <f t="shared" si="16"/>
        <v>55373</v>
      </c>
      <c r="L88" s="16"/>
      <c r="M88" s="16"/>
    </row>
    <row r="89" spans="1:13" ht="12.75">
      <c r="A89" s="50"/>
      <c r="B89" s="117" t="s">
        <v>221</v>
      </c>
      <c r="C89" s="24">
        <v>15862</v>
      </c>
      <c r="D89" s="25">
        <v>15862</v>
      </c>
      <c r="E89" s="26">
        <v>-47</v>
      </c>
      <c r="F89" s="24">
        <v>0</v>
      </c>
      <c r="G89" s="26">
        <v>0</v>
      </c>
      <c r="H89" s="24">
        <v>0</v>
      </c>
      <c r="I89" s="94">
        <v>0</v>
      </c>
      <c r="J89" s="116">
        <v>0</v>
      </c>
      <c r="K89" s="59">
        <f>SUM(D89:J89)</f>
        <v>15815</v>
      </c>
      <c r="L89" s="16"/>
      <c r="M89" s="16"/>
    </row>
    <row r="90" spans="1:13" ht="12.75">
      <c r="A90" s="50"/>
      <c r="B90" s="3" t="s">
        <v>223</v>
      </c>
      <c r="C90" s="24">
        <v>25892</v>
      </c>
      <c r="D90" s="25">
        <v>25892</v>
      </c>
      <c r="E90" s="26">
        <v>-76</v>
      </c>
      <c r="F90" s="24">
        <v>0</v>
      </c>
      <c r="G90" s="26">
        <v>33750</v>
      </c>
      <c r="H90" s="24">
        <v>0</v>
      </c>
      <c r="I90" s="94">
        <v>0</v>
      </c>
      <c r="J90" s="116">
        <v>0</v>
      </c>
      <c r="K90" s="59">
        <f>SUM(D90:J90)</f>
        <v>59566</v>
      </c>
      <c r="L90" s="16"/>
      <c r="M90" s="16"/>
    </row>
    <row r="91" spans="1:13" ht="12.75">
      <c r="A91" s="50"/>
      <c r="B91" s="117" t="s">
        <v>222</v>
      </c>
      <c r="C91" s="24">
        <v>15455</v>
      </c>
      <c r="D91" s="25">
        <v>19455</v>
      </c>
      <c r="E91" s="26">
        <v>-57</v>
      </c>
      <c r="F91" s="24">
        <v>0</v>
      </c>
      <c r="G91" s="26">
        <v>0</v>
      </c>
      <c r="H91" s="24">
        <v>0</v>
      </c>
      <c r="I91" s="94">
        <v>0</v>
      </c>
      <c r="J91" s="116">
        <v>-3917</v>
      </c>
      <c r="K91" s="59">
        <f>SUM(D91:J91)</f>
        <v>15481</v>
      </c>
      <c r="L91" s="16"/>
      <c r="M91" s="16"/>
    </row>
    <row r="92" spans="1:13" ht="12.75">
      <c r="A92" s="50"/>
      <c r="B92" s="117" t="s">
        <v>224</v>
      </c>
      <c r="C92" s="24">
        <v>30201</v>
      </c>
      <c r="D92" s="25">
        <v>25351</v>
      </c>
      <c r="E92" s="26">
        <v>-75</v>
      </c>
      <c r="F92" s="24">
        <v>0</v>
      </c>
      <c r="G92" s="26">
        <v>0</v>
      </c>
      <c r="H92" s="24">
        <v>0</v>
      </c>
      <c r="I92" s="94">
        <v>0</v>
      </c>
      <c r="J92" s="116">
        <v>104</v>
      </c>
      <c r="K92" s="59">
        <f>SUM(D92:J92)</f>
        <v>25380</v>
      </c>
      <c r="L92" s="16"/>
      <c r="M92" s="16"/>
    </row>
    <row r="93" spans="1:13" ht="12.75">
      <c r="A93" s="50"/>
      <c r="B93" s="117" t="s">
        <v>225</v>
      </c>
      <c r="C93" s="24">
        <v>33966</v>
      </c>
      <c r="D93" s="25">
        <v>23566</v>
      </c>
      <c r="E93" s="26">
        <v>-69</v>
      </c>
      <c r="F93" s="24">
        <v>0</v>
      </c>
      <c r="G93" s="26">
        <v>0</v>
      </c>
      <c r="H93" s="24">
        <v>0</v>
      </c>
      <c r="I93" s="94">
        <v>11162</v>
      </c>
      <c r="J93" s="116">
        <v>-3686</v>
      </c>
      <c r="K93" s="59">
        <f>SUM(D93:J93)</f>
        <v>30973</v>
      </c>
      <c r="L93" s="16"/>
      <c r="M93" s="16"/>
    </row>
    <row r="94" spans="1:13" ht="12.75">
      <c r="A94" s="50"/>
      <c r="B94" s="117" t="s">
        <v>38</v>
      </c>
      <c r="C94" s="24">
        <v>13450</v>
      </c>
      <c r="D94" s="25">
        <v>13450</v>
      </c>
      <c r="E94" s="26">
        <v>-40</v>
      </c>
      <c r="F94" s="24">
        <v>0</v>
      </c>
      <c r="G94" s="26">
        <v>0</v>
      </c>
      <c r="H94" s="24">
        <v>0</v>
      </c>
      <c r="I94" s="94">
        <v>0</v>
      </c>
      <c r="J94" s="116">
        <v>0</v>
      </c>
      <c r="K94" s="59">
        <f t="shared" si="16"/>
        <v>13410</v>
      </c>
      <c r="L94" s="16"/>
      <c r="M94" s="16"/>
    </row>
    <row r="95" spans="1:13" ht="12.75">
      <c r="A95" s="50"/>
      <c r="B95" s="117" t="s">
        <v>39</v>
      </c>
      <c r="C95" s="24">
        <v>15331</v>
      </c>
      <c r="D95" s="25">
        <v>15331</v>
      </c>
      <c r="E95" s="26">
        <v>-45</v>
      </c>
      <c r="F95" s="24">
        <v>0</v>
      </c>
      <c r="G95" s="26">
        <v>0</v>
      </c>
      <c r="H95" s="24">
        <v>0</v>
      </c>
      <c r="I95" s="94">
        <v>0</v>
      </c>
      <c r="J95" s="116">
        <v>-3014</v>
      </c>
      <c r="K95" s="59">
        <f t="shared" si="16"/>
        <v>12272</v>
      </c>
      <c r="L95" s="16"/>
      <c r="M95" s="16"/>
    </row>
    <row r="96" spans="1:13" ht="12.75">
      <c r="A96" s="50"/>
      <c r="B96" s="117" t="s">
        <v>198</v>
      </c>
      <c r="C96" s="24">
        <v>315443</v>
      </c>
      <c r="D96" s="25">
        <v>319443</v>
      </c>
      <c r="E96" s="26">
        <v>-941</v>
      </c>
      <c r="F96" s="24">
        <v>0</v>
      </c>
      <c r="G96" s="26">
        <v>1797</v>
      </c>
      <c r="H96" s="24">
        <v>0</v>
      </c>
      <c r="I96" s="94">
        <v>0</v>
      </c>
      <c r="J96" s="116">
        <v>-7042</v>
      </c>
      <c r="K96" s="59">
        <f t="shared" si="16"/>
        <v>313257</v>
      </c>
      <c r="L96" s="16"/>
      <c r="M96" s="16"/>
    </row>
    <row r="97" spans="1:13" ht="12.75">
      <c r="A97" s="50"/>
      <c r="B97" s="117" t="s">
        <v>40</v>
      </c>
      <c r="C97" s="24">
        <v>64778</v>
      </c>
      <c r="D97" s="25">
        <v>55778</v>
      </c>
      <c r="E97" s="26">
        <v>-164</v>
      </c>
      <c r="F97" s="24">
        <v>0</v>
      </c>
      <c r="G97" s="26">
        <v>0</v>
      </c>
      <c r="H97" s="24">
        <v>0</v>
      </c>
      <c r="I97" s="94">
        <v>-18662</v>
      </c>
      <c r="J97" s="116">
        <v>-5928</v>
      </c>
      <c r="K97" s="59">
        <f t="shared" si="16"/>
        <v>31024</v>
      </c>
      <c r="L97" s="16"/>
      <c r="M97" s="16"/>
    </row>
    <row r="98" spans="1:13" ht="13.5" thickBot="1">
      <c r="A98" s="50"/>
      <c r="B98" s="31" t="s">
        <v>185</v>
      </c>
      <c r="C98" s="24">
        <v>0</v>
      </c>
      <c r="D98" s="25">
        <v>0</v>
      </c>
      <c r="E98" s="26">
        <v>0</v>
      </c>
      <c r="F98" s="24">
        <v>0</v>
      </c>
      <c r="G98" s="26">
        <v>0</v>
      </c>
      <c r="H98" s="24">
        <v>0</v>
      </c>
      <c r="I98" s="94">
        <f>2407+124+548</f>
        <v>3079</v>
      </c>
      <c r="J98" s="116">
        <v>0</v>
      </c>
      <c r="K98" s="59">
        <f t="shared" si="16"/>
        <v>3079</v>
      </c>
      <c r="L98" s="16"/>
      <c r="M98" s="16"/>
    </row>
    <row r="99" spans="1:13" s="11" customFormat="1" ht="13.5" thickBot="1">
      <c r="A99" s="247"/>
      <c r="B99" s="37" t="s">
        <v>233</v>
      </c>
      <c r="C99" s="38">
        <f aca="true" t="shared" si="17" ref="C99:K99">SUM(C63:C98)</f>
        <v>1450512</v>
      </c>
      <c r="D99" s="38">
        <f t="shared" si="17"/>
        <v>1487375</v>
      </c>
      <c r="E99" s="38">
        <f t="shared" si="17"/>
        <v>-4387</v>
      </c>
      <c r="F99" s="38">
        <f t="shared" si="17"/>
        <v>0</v>
      </c>
      <c r="G99" s="38">
        <f t="shared" si="17"/>
        <v>118237</v>
      </c>
      <c r="H99" s="38">
        <f t="shared" si="17"/>
        <v>0</v>
      </c>
      <c r="I99" s="38">
        <f t="shared" si="17"/>
        <v>296245</v>
      </c>
      <c r="J99" s="38">
        <f t="shared" si="17"/>
        <v>0</v>
      </c>
      <c r="K99" s="38">
        <f t="shared" si="17"/>
        <v>1897470</v>
      </c>
      <c r="L99" s="10"/>
      <c r="M99" s="10"/>
    </row>
    <row r="100" spans="1:11" ht="12.75">
      <c r="A100" s="49"/>
      <c r="B100" s="40"/>
      <c r="C100" s="24"/>
      <c r="D100" s="25"/>
      <c r="E100" s="26"/>
      <c r="F100" s="24"/>
      <c r="G100" s="26"/>
      <c r="H100" s="24"/>
      <c r="I100" s="94"/>
      <c r="J100" s="116"/>
      <c r="K100" s="25"/>
    </row>
    <row r="101" spans="1:11" ht="12.75">
      <c r="A101" s="49" t="s">
        <v>173</v>
      </c>
      <c r="B101" s="3" t="s">
        <v>42</v>
      </c>
      <c r="C101" s="24">
        <v>88565</v>
      </c>
      <c r="D101" s="25">
        <v>88565</v>
      </c>
      <c r="E101" s="26">
        <v>-261</v>
      </c>
      <c r="F101" s="24">
        <v>0</v>
      </c>
      <c r="G101" s="24">
        <v>0</v>
      </c>
      <c r="H101" s="24">
        <v>0</v>
      </c>
      <c r="I101" s="24">
        <v>0</v>
      </c>
      <c r="J101" s="116">
        <f>SUM('FY 09-11 DD 1416 Tracker-Total'!AU139)</f>
        <v>99</v>
      </c>
      <c r="K101" s="25">
        <f aca="true" t="shared" si="18" ref="K101:K106">SUM(D101:J101)</f>
        <v>88403</v>
      </c>
    </row>
    <row r="102" spans="1:11" ht="12.75">
      <c r="A102" s="49"/>
      <c r="B102" s="3" t="s">
        <v>43</v>
      </c>
      <c r="C102" s="24">
        <v>80211</v>
      </c>
      <c r="D102" s="25">
        <v>80211</v>
      </c>
      <c r="E102" s="26">
        <v>-237</v>
      </c>
      <c r="F102" s="24">
        <v>0</v>
      </c>
      <c r="G102" s="24">
        <v>0</v>
      </c>
      <c r="H102" s="24">
        <v>0</v>
      </c>
      <c r="I102" s="24">
        <v>0</v>
      </c>
      <c r="J102" s="116">
        <f>SUM('FY 09-11 DD 1416 Tracker-Total'!AU140)</f>
        <v>-99</v>
      </c>
      <c r="K102" s="25">
        <f t="shared" si="18"/>
        <v>79875</v>
      </c>
    </row>
    <row r="103" spans="1:11" ht="12.75">
      <c r="A103" s="49"/>
      <c r="B103" s="3" t="s">
        <v>44</v>
      </c>
      <c r="C103" s="24">
        <v>22299</v>
      </c>
      <c r="D103" s="25">
        <v>25579</v>
      </c>
      <c r="E103" s="26">
        <v>-75</v>
      </c>
      <c r="F103" s="24">
        <v>0</v>
      </c>
      <c r="G103" s="24">
        <v>0</v>
      </c>
      <c r="H103" s="24">
        <v>0</v>
      </c>
      <c r="I103" s="24">
        <v>0</v>
      </c>
      <c r="J103" s="116">
        <f>SUM('FY 09-11 DD 1416 Tracker-Total'!AU141)</f>
        <v>-5100</v>
      </c>
      <c r="K103" s="25">
        <f t="shared" si="18"/>
        <v>20404</v>
      </c>
    </row>
    <row r="104" spans="1:11" ht="12.75">
      <c r="A104" s="49"/>
      <c r="B104" s="3" t="s">
        <v>45</v>
      </c>
      <c r="C104" s="24">
        <v>38702</v>
      </c>
      <c r="D104" s="25">
        <v>38702</v>
      </c>
      <c r="E104" s="26">
        <v>-114</v>
      </c>
      <c r="F104" s="24">
        <v>0</v>
      </c>
      <c r="G104" s="24">
        <v>0</v>
      </c>
      <c r="H104" s="24">
        <v>0</v>
      </c>
      <c r="I104" s="24">
        <v>0</v>
      </c>
      <c r="J104" s="116">
        <f>SUM('FY 09-11 DD 1416 Tracker-Total'!AU142)</f>
        <v>0</v>
      </c>
      <c r="K104" s="25">
        <f t="shared" si="18"/>
        <v>38588</v>
      </c>
    </row>
    <row r="105" spans="1:11" ht="12.75">
      <c r="A105" s="49"/>
      <c r="B105" s="3" t="s">
        <v>199</v>
      </c>
      <c r="C105" s="24">
        <v>37784</v>
      </c>
      <c r="D105" s="25">
        <v>37784</v>
      </c>
      <c r="E105" s="26">
        <v>-111</v>
      </c>
      <c r="F105" s="24">
        <v>0</v>
      </c>
      <c r="G105" s="24">
        <v>0</v>
      </c>
      <c r="H105" s="24">
        <v>0</v>
      </c>
      <c r="I105" s="24">
        <v>0</v>
      </c>
      <c r="J105" s="116">
        <f>SUM('FY 09-11 DD 1416 Tracker-Total'!AU143)</f>
        <v>0</v>
      </c>
      <c r="K105" s="25">
        <f t="shared" si="18"/>
        <v>37673</v>
      </c>
    </row>
    <row r="106" spans="1:11" ht="13.5" thickBot="1">
      <c r="A106" s="49"/>
      <c r="B106" s="3" t="s">
        <v>46</v>
      </c>
      <c r="C106" s="24">
        <v>199610</v>
      </c>
      <c r="D106" s="25">
        <v>186160</v>
      </c>
      <c r="E106" s="26">
        <v>-549</v>
      </c>
      <c r="F106" s="24">
        <v>0</v>
      </c>
      <c r="G106" s="24">
        <v>0</v>
      </c>
      <c r="H106" s="24">
        <v>0</v>
      </c>
      <c r="I106" s="24">
        <v>0</v>
      </c>
      <c r="J106" s="116">
        <f>SUM('FY 09-11 DD 1416 Tracker-Total'!AU144)</f>
        <v>5100</v>
      </c>
      <c r="K106" s="25">
        <f t="shared" si="18"/>
        <v>190711</v>
      </c>
    </row>
    <row r="107" spans="1:11" s="11" customFormat="1" ht="13.5" thickBot="1">
      <c r="A107" s="247"/>
      <c r="B107" s="37" t="s">
        <v>234</v>
      </c>
      <c r="C107" s="38">
        <f>SUM(C101:C106)</f>
        <v>467171</v>
      </c>
      <c r="D107" s="38">
        <f aca="true" t="shared" si="19" ref="D107:K107">SUM(D101:D106)</f>
        <v>457001</v>
      </c>
      <c r="E107" s="38">
        <f t="shared" si="19"/>
        <v>-1347</v>
      </c>
      <c r="F107" s="38">
        <f t="shared" si="19"/>
        <v>0</v>
      </c>
      <c r="G107" s="38">
        <f t="shared" si="19"/>
        <v>0</v>
      </c>
      <c r="H107" s="38">
        <f t="shared" si="19"/>
        <v>0</v>
      </c>
      <c r="I107" s="270">
        <f t="shared" si="19"/>
        <v>0</v>
      </c>
      <c r="J107" s="38">
        <f t="shared" si="19"/>
        <v>0</v>
      </c>
      <c r="K107" s="39">
        <f t="shared" si="19"/>
        <v>455654</v>
      </c>
    </row>
    <row r="108" spans="1:11" ht="12.75">
      <c r="A108" s="41"/>
      <c r="B108" s="42"/>
      <c r="C108" s="24"/>
      <c r="D108" s="29"/>
      <c r="E108" s="31"/>
      <c r="F108" s="33"/>
      <c r="G108" s="31"/>
      <c r="H108" s="33"/>
      <c r="I108" s="93"/>
      <c r="J108" s="123"/>
      <c r="K108" s="25"/>
    </row>
    <row r="109" spans="1:11" ht="12.75">
      <c r="A109" s="41" t="s">
        <v>235</v>
      </c>
      <c r="B109" s="3" t="s">
        <v>226</v>
      </c>
      <c r="C109" s="24">
        <v>0</v>
      </c>
      <c r="D109" s="25">
        <v>57100</v>
      </c>
      <c r="E109" s="26">
        <v>-168</v>
      </c>
      <c r="F109" s="24">
        <v>0</v>
      </c>
      <c r="G109" s="26">
        <v>0</v>
      </c>
      <c r="H109" s="24">
        <v>0</v>
      </c>
      <c r="I109" s="26">
        <v>45000</v>
      </c>
      <c r="J109" s="24">
        <v>0</v>
      </c>
      <c r="K109" s="25">
        <f>SUM(D109:J109)</f>
        <v>101932</v>
      </c>
    </row>
    <row r="110" spans="1:11" ht="13.5" thickBot="1">
      <c r="A110" s="41"/>
      <c r="B110" s="3" t="s">
        <v>227</v>
      </c>
      <c r="C110" s="24">
        <v>0</v>
      </c>
      <c r="D110" s="25">
        <v>105000</v>
      </c>
      <c r="E110" s="26">
        <v>-310</v>
      </c>
      <c r="F110" s="24">
        <v>0</v>
      </c>
      <c r="G110" s="26">
        <v>0</v>
      </c>
      <c r="H110" s="269">
        <v>0</v>
      </c>
      <c r="I110" s="26">
        <v>0</v>
      </c>
      <c r="J110" s="269">
        <v>0</v>
      </c>
      <c r="K110" s="25">
        <f>SUM(D110:J110)</f>
        <v>104690</v>
      </c>
    </row>
    <row r="111" spans="1:11" s="11" customFormat="1" ht="13.5" thickBot="1">
      <c r="A111" s="247"/>
      <c r="B111" s="37" t="s">
        <v>236</v>
      </c>
      <c r="C111" s="38">
        <f>SUM(C109:C110)</f>
        <v>0</v>
      </c>
      <c r="D111" s="38">
        <f aca="true" t="shared" si="20" ref="D111:K111">SUM(D109:D110)</f>
        <v>162100</v>
      </c>
      <c r="E111" s="38">
        <f t="shared" si="20"/>
        <v>-478</v>
      </c>
      <c r="F111" s="38">
        <f t="shared" si="20"/>
        <v>0</v>
      </c>
      <c r="G111" s="38">
        <f t="shared" si="20"/>
        <v>0</v>
      </c>
      <c r="H111" s="38">
        <f t="shared" si="20"/>
        <v>0</v>
      </c>
      <c r="I111" s="38">
        <f t="shared" si="20"/>
        <v>45000</v>
      </c>
      <c r="J111" s="38">
        <f t="shared" si="20"/>
        <v>0</v>
      </c>
      <c r="K111" s="38">
        <f t="shared" si="20"/>
        <v>206622</v>
      </c>
    </row>
    <row r="112" spans="1:11" ht="12.75">
      <c r="A112" s="41"/>
      <c r="B112" s="42"/>
      <c r="C112" s="24"/>
      <c r="D112" s="29"/>
      <c r="E112" s="31"/>
      <c r="F112" s="24"/>
      <c r="G112" s="31"/>
      <c r="H112" s="33"/>
      <c r="I112" s="93"/>
      <c r="J112" s="123"/>
      <c r="K112" s="25"/>
    </row>
    <row r="113" spans="1:11" ht="13.5" thickBot="1">
      <c r="A113" s="41"/>
      <c r="B113" s="42"/>
      <c r="C113" s="24"/>
      <c r="D113" s="29"/>
      <c r="E113" s="31"/>
      <c r="F113" s="24"/>
      <c r="G113" s="31"/>
      <c r="H113" s="24"/>
      <c r="I113" s="93"/>
      <c r="J113" s="123"/>
      <c r="K113" s="25"/>
    </row>
    <row r="114" spans="1:11" s="256" customFormat="1" ht="13.5" thickBot="1">
      <c r="A114" s="43" t="s">
        <v>47</v>
      </c>
      <c r="B114" s="44" t="s">
        <v>164</v>
      </c>
      <c r="C114" s="38">
        <v>671379</v>
      </c>
      <c r="D114" s="38">
        <v>648379</v>
      </c>
      <c r="E114" s="218">
        <v>-1912</v>
      </c>
      <c r="F114" s="38">
        <v>0</v>
      </c>
      <c r="G114" s="218">
        <f>1380+4863+19367+5194+38245+55160+166259</f>
        <v>290468</v>
      </c>
      <c r="H114" s="38">
        <v>0</v>
      </c>
      <c r="I114" s="218">
        <f>-2000+300+25000+6400-29911+600+5400</f>
        <v>5789</v>
      </c>
      <c r="J114" s="38">
        <v>0</v>
      </c>
      <c r="K114" s="38">
        <f>SUM(D114:J114)</f>
        <v>942724</v>
      </c>
    </row>
    <row r="115" spans="1:11" s="256" customFormat="1" ht="12.75">
      <c r="A115" s="224"/>
      <c r="B115" s="225"/>
      <c r="C115" s="124"/>
      <c r="D115" s="96"/>
      <c r="E115" s="79"/>
      <c r="F115" s="124"/>
      <c r="G115" s="79"/>
      <c r="H115" s="124"/>
      <c r="I115" s="79"/>
      <c r="J115" s="124"/>
      <c r="K115" s="96"/>
    </row>
    <row r="116" spans="1:11" s="256" customFormat="1" ht="13.5" thickBot="1">
      <c r="A116" s="224"/>
      <c r="B116" s="225"/>
      <c r="C116" s="124"/>
      <c r="D116" s="96"/>
      <c r="E116" s="79"/>
      <c r="F116" s="124"/>
      <c r="G116" s="79"/>
      <c r="H116" s="124"/>
      <c r="I116" s="79"/>
      <c r="J116" s="124"/>
      <c r="K116" s="96"/>
    </row>
    <row r="117" spans="1:11" s="256" customFormat="1" ht="13.5" thickBot="1">
      <c r="A117" s="43" t="s">
        <v>268</v>
      </c>
      <c r="B117" s="44" t="s">
        <v>269</v>
      </c>
      <c r="C117" s="38">
        <v>0</v>
      </c>
      <c r="D117" s="39">
        <v>0</v>
      </c>
      <c r="E117" s="218">
        <v>0</v>
      </c>
      <c r="F117" s="38">
        <v>0</v>
      </c>
      <c r="G117" s="218">
        <v>0</v>
      </c>
      <c r="H117" s="38">
        <v>0</v>
      </c>
      <c r="I117" s="218">
        <v>0</v>
      </c>
      <c r="J117" s="38">
        <v>0</v>
      </c>
      <c r="K117" s="39">
        <v>0</v>
      </c>
    </row>
    <row r="118" spans="1:11" s="256" customFormat="1" ht="12.75">
      <c r="A118" s="224"/>
      <c r="B118" s="225"/>
      <c r="C118" s="124"/>
      <c r="D118" s="96"/>
      <c r="E118" s="79"/>
      <c r="F118" s="124"/>
      <c r="G118" s="79"/>
      <c r="H118" s="124"/>
      <c r="I118" s="79"/>
      <c r="J118" s="124"/>
      <c r="K118" s="96"/>
    </row>
    <row r="119" spans="1:11" s="22" customFormat="1" ht="13.5" thickBot="1">
      <c r="A119" s="224"/>
      <c r="B119" s="225"/>
      <c r="C119" s="116"/>
      <c r="D119" s="59"/>
      <c r="E119" s="94"/>
      <c r="F119" s="116"/>
      <c r="G119" s="94"/>
      <c r="H119" s="116"/>
      <c r="I119" s="94"/>
      <c r="J119" s="116"/>
      <c r="K119" s="96"/>
    </row>
    <row r="120" spans="1:11" s="10" customFormat="1" ht="13.5" thickBot="1">
      <c r="A120" s="43" t="s">
        <v>175</v>
      </c>
      <c r="B120" s="39" t="s">
        <v>59</v>
      </c>
      <c r="C120" s="38">
        <f>SUM(C61+C99+C107+C114+C117)</f>
        <v>3164228</v>
      </c>
      <c r="D120" s="38">
        <f aca="true" t="shared" si="21" ref="D120:J120">SUM(D61+D99+D107+D111+D114)</f>
        <v>3306269</v>
      </c>
      <c r="E120" s="38">
        <f t="shared" si="21"/>
        <v>-9749</v>
      </c>
      <c r="F120" s="38">
        <f t="shared" si="21"/>
        <v>0</v>
      </c>
      <c r="G120" s="38">
        <f t="shared" si="21"/>
        <v>408705</v>
      </c>
      <c r="H120" s="38">
        <f t="shared" si="21"/>
        <v>0</v>
      </c>
      <c r="I120" s="38">
        <f t="shared" si="21"/>
        <v>343601</v>
      </c>
      <c r="J120" s="38">
        <f t="shared" si="21"/>
        <v>0</v>
      </c>
      <c r="K120" s="38">
        <f>SUM(K61+K99+K107+K111+K114+K117)-28</f>
        <v>4048799</v>
      </c>
    </row>
    <row r="121" ht="12.75">
      <c r="A121" s="50"/>
    </row>
    <row r="122" ht="12.75">
      <c r="A122" s="50"/>
    </row>
    <row r="123" ht="12.75">
      <c r="A123" s="50"/>
    </row>
    <row r="124" ht="13.5" thickBot="1">
      <c r="A124" s="50"/>
    </row>
    <row r="125" spans="1:11" s="11" customFormat="1" ht="13.5" thickBot="1">
      <c r="A125" s="267" t="s">
        <v>68</v>
      </c>
      <c r="B125" s="268"/>
      <c r="C125" s="218">
        <v>3164228</v>
      </c>
      <c r="D125" s="218">
        <v>3306269</v>
      </c>
      <c r="E125" s="218">
        <v>-9749</v>
      </c>
      <c r="F125" s="218">
        <v>0</v>
      </c>
      <c r="G125" s="218">
        <v>175328</v>
      </c>
      <c r="H125" s="218">
        <v>0</v>
      </c>
      <c r="I125" s="218">
        <v>9636</v>
      </c>
      <c r="J125" s="218">
        <v>0</v>
      </c>
      <c r="K125" s="39">
        <v>4048799</v>
      </c>
    </row>
    <row r="127" spans="1:11" ht="12.75">
      <c r="A127" s="263"/>
      <c r="B127" s="264"/>
      <c r="C127" s="265"/>
      <c r="D127" s="265"/>
      <c r="E127" s="265"/>
      <c r="F127" s="265"/>
      <c r="G127" s="265"/>
      <c r="H127" s="265"/>
      <c r="I127" s="265"/>
      <c r="J127" s="265"/>
      <c r="K127" s="266"/>
    </row>
    <row r="128" ht="12.75">
      <c r="C128" s="16"/>
    </row>
    <row r="129" ht="12.75">
      <c r="K129" s="16">
        <f>SUM(K120-K125)</f>
        <v>0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43" r:id="rId1"/>
  <headerFooter alignWithMargins="0">
    <oddHeader>&amp;CFY 2009/2011
PROCUREMENT, DEFENSE-WIDE
As of 30 Sep 2009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OUSD(C)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birks</dc:creator>
  <cp:keywords/>
  <dc:description/>
  <cp:lastModifiedBy>snyderb</cp:lastModifiedBy>
  <cp:lastPrinted>2011-05-01T17:08:39Z</cp:lastPrinted>
  <dcterms:created xsi:type="dcterms:W3CDTF">2006-09-27T18:13:40Z</dcterms:created>
  <dcterms:modified xsi:type="dcterms:W3CDTF">2011-05-02T12:35:32Z</dcterms:modified>
  <cp:category/>
  <cp:version/>
  <cp:contentType/>
  <cp:contentStatus/>
</cp:coreProperties>
</file>